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195" windowHeight="9210" activeTab="0"/>
  </bookViews>
  <sheets>
    <sheet name="Лист1" sheetId="1" r:id="rId1"/>
    <sheet name="Лист2" sheetId="2" r:id="rId2"/>
    <sheet name="DV-IDENTITY-0" sheetId="3" state="veryHidden" r:id="rId3"/>
  </sheets>
  <definedNames>
    <definedName name="_xlnm.Print_Titles" localSheetId="1">'Лист2'!$10:$11</definedName>
  </definedNames>
  <calcPr fullCalcOnLoad="1"/>
</workbook>
</file>

<file path=xl/sharedStrings.xml><?xml version="1.0" encoding="utf-8"?>
<sst xmlns="http://schemas.openxmlformats.org/spreadsheetml/2006/main" count="250" uniqueCount="110">
  <si>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</si>
  <si>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</si>
  <si>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</si>
  <si>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Державний комітет України з промислової безпеки, охорони праці та гірничого нагляду</t>
  </si>
  <si>
    <t>(найменування головного розпорядника коштів державного бюджету)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</si>
  <si>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</si>
  <si>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</si>
  <si>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</si>
  <si>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план на 2010 рік з урахуванням внесених змін</t>
  </si>
  <si>
    <t>касове виконання за 2010 рік</t>
  </si>
  <si>
    <t>Спеціальний фонд</t>
  </si>
  <si>
    <t>Разом</t>
  </si>
  <si>
    <t>(тис. грн.)</t>
  </si>
  <si>
    <t>Код програмної класифікації видатків та кредитування бюджету/код економічної класифікації видатків бюджету або код кредитування бюджету</t>
  </si>
  <si>
    <t>за 2010 рік</t>
  </si>
  <si>
    <t>Видатки всього за головним розпорядником коштів державного бюджету: в т.ч.</t>
  </si>
  <si>
    <t>про виконання результативних показників, що характеризують виконання бюджетної програми</t>
  </si>
  <si>
    <t>(код програмної класифікації видатків та кредитування бюджету)</t>
  </si>
  <si>
    <t>(назва бюджетної програми)</t>
  </si>
  <si>
    <t>Керівництво та управління у сфері промислової безпеки, охорони праці та гірничого нагляду</t>
  </si>
  <si>
    <t>№ з/п</t>
  </si>
  <si>
    <t>Показники</t>
  </si>
  <si>
    <t>Одиниця виміру</t>
  </si>
  <si>
    <t>Джерело інформації</t>
  </si>
  <si>
    <t>загальний фонд</t>
  </si>
  <si>
    <t>спеціальний фонд</t>
  </si>
  <si>
    <t>разом</t>
  </si>
  <si>
    <t>Затверджено паспортом бюджетної програми на звітний період</t>
  </si>
  <si>
    <t>Виконано за звітний період</t>
  </si>
  <si>
    <t>Затрат</t>
  </si>
  <si>
    <t>Штатна чисельність</t>
  </si>
  <si>
    <t>чол.</t>
  </si>
  <si>
    <t>Постанова Кабінету Міністрів України від 13.05.2009 № 464</t>
  </si>
  <si>
    <t>Фактична чисельність державних інспекторів</t>
  </si>
  <si>
    <t>Звітність за формою № 2–НД, затвердженою наказом Держгір-промнагляду від 30.01.2010 № 14</t>
  </si>
  <si>
    <t>Продукту</t>
  </si>
  <si>
    <t>Кількість суб’єктів господарювання, що підлягають всебічним перевіркам</t>
  </si>
  <si>
    <t>од.</t>
  </si>
  <si>
    <t>Кількість виробничих об’єктів, що підлягають перевіркам</t>
  </si>
  <si>
    <t>Кількість підготовлених та опрацьованих проектів нормативно-правових актів</t>
  </si>
  <si>
    <t>Інформація про виконання планів основної діяльності</t>
  </si>
  <si>
    <t>Ефективності</t>
  </si>
  <si>
    <t>Кількість проведених всебічних перевірок суб’єктів господарювання на 1 державного інспектора</t>
  </si>
  <si>
    <t>Кількість проведених перевірок виробничих об’єктів на 1 державного інспектора</t>
  </si>
  <si>
    <t>Якості</t>
  </si>
  <si>
    <t>Відсоток зменшення кількості потерпілих від нещасних випадків на виробництві порівняно з 2009 роком</t>
  </si>
  <si>
    <t>відс.</t>
  </si>
  <si>
    <t>Звіт з травматизму за формою № 4–ЗТ</t>
  </si>
  <si>
    <t xml:space="preserve">Відсоток зменшення кількості загиблих від нещасних випадків на виробництві порівняно з 2009 роком </t>
  </si>
  <si>
    <t>Відхилення</t>
  </si>
  <si>
    <t>Підвищення кваліфікації кадрів у сфері охорони праці та наглядової діяльності</t>
  </si>
  <si>
    <t>Кількість навчальних закладів</t>
  </si>
  <si>
    <t xml:space="preserve">Звіти про виконання плану по штатах і контингентах закладів підготовки і підвищення кваліфікації кадрів. Форма № 3-2 </t>
  </si>
  <si>
    <t>Кількість службових автомобілів</t>
  </si>
  <si>
    <t>Постанова Кабінету Міністрів України від 22.10.2008 № 954</t>
  </si>
  <si>
    <t xml:space="preserve">Кількість спеціалістів, які пройшли підвищення кваліфікації </t>
  </si>
  <si>
    <t>Кількість груп, що плануються з навчання за професійними програмами</t>
  </si>
  <si>
    <t>Договір</t>
  </si>
  <si>
    <t>Витрати на 1 працівника, який підвищує кваліфікацію</t>
  </si>
  <si>
    <t>грн.</t>
  </si>
  <si>
    <t>Розрахунково</t>
  </si>
  <si>
    <t>Відсоток осіб, які отримають документи про підвищення кваліфікації</t>
  </si>
  <si>
    <t>Співвідношення осіб, які підвищують кваліфікацію до їх загальної чисельності</t>
  </si>
  <si>
    <t>Прикладні розробки у сфері охорони праці</t>
  </si>
  <si>
    <t>Кількість установ</t>
  </si>
  <si>
    <t>шт.</t>
  </si>
  <si>
    <t>Постанова Кабінету Міністрів України від 04.03.1994 № 151</t>
  </si>
  <si>
    <t>в тому числі за бюджетними програмами</t>
  </si>
  <si>
    <t>0412</t>
  </si>
  <si>
    <t>0950</t>
  </si>
  <si>
    <t>0481</t>
  </si>
  <si>
    <t>0431</t>
  </si>
  <si>
    <t>Фінансування проектів, пов'язаних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(УТАС)</t>
  </si>
  <si>
    <t>Начальник управління бухгалтерського обліку, звітності та контролю - головний бухгалтер</t>
  </si>
  <si>
    <t>О.Л.Кулікова</t>
  </si>
  <si>
    <t>Кількість дослідників, залучених до виконання наукових досліджень і розробок</t>
  </si>
  <si>
    <t>Штатний розпис, річний звіт</t>
  </si>
  <si>
    <t>Кількість допоміжного персоналу</t>
  </si>
  <si>
    <t xml:space="preserve">Кількість інших працівників </t>
  </si>
  <si>
    <t xml:space="preserve">Загальна штатна чисельність </t>
  </si>
  <si>
    <t>Витрати на проведення наукових семінарів, конференцій</t>
  </si>
  <si>
    <t>тис. грн.</t>
  </si>
  <si>
    <t>Звіти, кошториси, договори</t>
  </si>
  <si>
    <t xml:space="preserve">Витрати на навчання аспірантів з відривом від виробництва </t>
  </si>
  <si>
    <t>Звіти, кошториси</t>
  </si>
  <si>
    <t xml:space="preserve">Витрати на навчання аспірантів без відриву від виробництва </t>
  </si>
  <si>
    <t>Кількість друкованих робіт</t>
  </si>
  <si>
    <t>Рішення вченої ради інституту</t>
  </si>
  <si>
    <t>Кількість наукових семінарів і конференцій</t>
  </si>
  <si>
    <t>Кількість впроваджень результатів розробок у виробництво</t>
  </si>
  <si>
    <t>Тематичний план НДР. Договірна документація</t>
  </si>
  <si>
    <t>Кількість прикладних наукових розробок</t>
  </si>
  <si>
    <t xml:space="preserve">Середньорічна кількість аспірантів з відривом від виробництва </t>
  </si>
  <si>
    <t xml:space="preserve">Середньорічна кількість аспірантів без відриву від виробництва </t>
  </si>
  <si>
    <t>Витрати на виконання 1 науково-дослідної роботи</t>
  </si>
  <si>
    <t>Середня вартість проведення одного наукового семінару, конференції</t>
  </si>
  <si>
    <t xml:space="preserve">Середня вартість навчання одного аспіранта з відривом від виробництва </t>
  </si>
  <si>
    <t xml:space="preserve">Середня вартість навчання одного аспіранта без відриву від виробництва </t>
  </si>
  <si>
    <t>Відсоток завершених у поточному році наукових розробок</t>
  </si>
  <si>
    <t>Звіти, договори</t>
  </si>
  <si>
    <t>Відсоток наукових розробок, які планується завершити у наступному бюджетному періоді</t>
  </si>
  <si>
    <t>Відсоток наукових розробок, результати яких впроваджено у виробництво та практику діяльності установ і закладів бюджетної сфери</t>
  </si>
  <si>
    <t>Постанова Кабінету Міністрів України від 21.07.2010 № 620</t>
  </si>
  <si>
    <t>Застосування автоматизованих систем проти аварійного захисту вугільних шахт</t>
  </si>
  <si>
    <t>Протокол спільної з Мінвуглепромом наради з визначення першочергових заходів щодо впровадження УТАС у 2009 році на підприємствах Мінвуглепрому</t>
  </si>
  <si>
    <t>Кількість автоматизованих систем проти аварійного захисту</t>
  </si>
  <si>
    <t>Зниження аварій 1 и 2 категорії</t>
  </si>
  <si>
    <t>За даними підприємств</t>
  </si>
  <si>
    <t>Акти здавання роботи. Протоколи засідання комісії по перевірці знань з питань програми навчання</t>
  </si>
  <si>
    <t>AAAAAH/98Z4=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</si>
</sst>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1">
    <font>
      <sz val="10"/>
      <name val="Arial Cyr"/>
      <family val="0"/>
    </font>
    <font>
      <sz val="8"/>
      <name val="Arial Cyr"/>
      <family val="0"/>
    </font>
    <font>
      <sz val="10.5"/>
      <color indexed="8"/>
      <name val="Courier New"/>
      <family val="3"/>
    </font>
    <font>
      <sz val="10"/>
      <name val="Courier New"/>
      <family val="3"/>
    </font>
    <font>
      <b/>
      <u val="single"/>
      <sz val="12"/>
      <color indexed="8"/>
      <name val="Courier New"/>
      <family val="3"/>
    </font>
    <font>
      <sz val="8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b/>
      <sz val="8"/>
      <name val="Courier New"/>
      <family val="3"/>
    </font>
    <font>
      <b/>
      <u val="single"/>
      <sz val="10"/>
      <color indexed="8"/>
      <name val="Courier New"/>
      <family val="3"/>
    </font>
    <font>
      <b/>
      <sz val="10"/>
      <name val="Courier New"/>
      <family val="3"/>
    </font>
    <font>
      <sz val="8"/>
      <color indexed="8"/>
      <name val="Courier New"/>
      <family val="3"/>
    </font>
    <font>
      <b/>
      <sz val="10"/>
      <color indexed="8"/>
      <name val="Courier New"/>
      <family val="3"/>
    </font>
    <font>
      <b/>
      <sz val="7"/>
      <name val="Courier New"/>
      <family val="3"/>
    </font>
    <font>
      <b/>
      <sz val="10.5"/>
      <color indexed="8"/>
      <name val="Courier New"/>
      <family val="3"/>
    </font>
    <font>
      <b/>
      <sz val="12"/>
      <name val="Courier New"/>
      <family val="3"/>
    </font>
    <font>
      <b/>
      <sz val="12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6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176" fontId="6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76" fontId="7" fillId="33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0" fillId="33" borderId="14" xfId="0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176" fontId="7" fillId="33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10" fillId="33" borderId="16" xfId="0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176" fontId="7" fillId="33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6" fillId="0" borderId="16" xfId="0" applyFont="1" applyBorder="1" applyAlignment="1">
      <alignment/>
    </xf>
    <xf numFmtId="176" fontId="3" fillId="0" borderId="11" xfId="0" applyNumberFormat="1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6" fillId="33" borderId="13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2" width="11.625" style="0" customWidth="1"/>
    <col min="3" max="3" width="18.25390625" style="0" customWidth="1"/>
    <col min="4" max="4" width="10.375" style="0" customWidth="1"/>
    <col min="5" max="5" width="9.75390625" style="0" customWidth="1"/>
    <col min="6" max="6" width="10.125" style="0" customWidth="1"/>
    <col min="7" max="7" width="10.625" style="0" customWidth="1"/>
    <col min="8" max="8" width="10.875" style="0" customWidth="1"/>
    <col min="9" max="9" width="10.00390625" style="0" customWidth="1"/>
  </cols>
  <sheetData>
    <row r="1" spans="1:9" ht="13.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3.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13.5">
      <c r="A3" s="62" t="s">
        <v>2</v>
      </c>
      <c r="B3" s="62"/>
      <c r="C3" s="62"/>
      <c r="D3" s="62"/>
      <c r="E3" s="62"/>
      <c r="F3" s="62"/>
      <c r="G3" s="62"/>
      <c r="H3" s="62"/>
      <c r="I3" s="62"/>
    </row>
    <row r="4" spans="1:9" ht="13.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5" spans="1:9" ht="12.7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9" ht="14.25">
      <c r="A6" s="60" t="s">
        <v>14</v>
      </c>
      <c r="B6" s="60"/>
      <c r="C6" s="60"/>
      <c r="D6" s="60"/>
      <c r="E6" s="60"/>
      <c r="F6" s="60"/>
      <c r="G6" s="60"/>
      <c r="H6" s="60"/>
      <c r="I6" s="60"/>
    </row>
    <row r="7" ht="13.5">
      <c r="I7" s="31" t="s">
        <v>12</v>
      </c>
    </row>
    <row r="8" spans="1:9" ht="30" customHeight="1">
      <c r="A8" s="65" t="s">
        <v>13</v>
      </c>
      <c r="B8" s="65" t="s">
        <v>5</v>
      </c>
      <c r="C8" s="64" t="s">
        <v>6</v>
      </c>
      <c r="D8" s="64" t="s">
        <v>7</v>
      </c>
      <c r="E8" s="64"/>
      <c r="F8" s="64" t="s">
        <v>10</v>
      </c>
      <c r="G8" s="64"/>
      <c r="H8" s="64" t="s">
        <v>11</v>
      </c>
      <c r="I8" s="64"/>
    </row>
    <row r="9" spans="1:9" ht="85.5" customHeight="1">
      <c r="A9" s="65"/>
      <c r="B9" s="65"/>
      <c r="C9" s="64"/>
      <c r="D9" s="2" t="s">
        <v>8</v>
      </c>
      <c r="E9" s="2" t="s">
        <v>9</v>
      </c>
      <c r="F9" s="2" t="s">
        <v>8</v>
      </c>
      <c r="G9" s="2" t="s">
        <v>9</v>
      </c>
      <c r="H9" s="2" t="s">
        <v>8</v>
      </c>
      <c r="I9" s="2" t="s">
        <v>9</v>
      </c>
    </row>
    <row r="10" spans="1:9" ht="11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s="1" customFormat="1" ht="24" customHeight="1">
      <c r="A11" s="61" t="s">
        <v>15</v>
      </c>
      <c r="B11" s="61"/>
      <c r="C11" s="61"/>
      <c r="D11" s="33">
        <f aca="true" t="shared" si="0" ref="D11:I11">SUM(D12:D20)</f>
        <v>139754.39999999997</v>
      </c>
      <c r="E11" s="33">
        <f t="shared" si="0"/>
        <v>137779.09999999998</v>
      </c>
      <c r="F11" s="33">
        <f t="shared" si="0"/>
        <v>73434.7</v>
      </c>
      <c r="G11" s="33">
        <f t="shared" si="0"/>
        <v>73018.79999999999</v>
      </c>
      <c r="H11" s="33">
        <f t="shared" si="0"/>
        <v>213189.09999999998</v>
      </c>
      <c r="I11" s="33">
        <f t="shared" si="0"/>
        <v>210797.9</v>
      </c>
    </row>
    <row r="12" spans="1:9" s="1" customFormat="1" ht="13.5">
      <c r="A12" s="34">
        <v>1110</v>
      </c>
      <c r="B12" s="35"/>
      <c r="C12" s="35"/>
      <c r="D12" s="21">
        <f aca="true" t="shared" si="1" ref="D12:E16">D23</f>
        <v>91726.7</v>
      </c>
      <c r="E12" s="21">
        <f t="shared" si="1"/>
        <v>91725.4</v>
      </c>
      <c r="F12" s="21"/>
      <c r="G12" s="21"/>
      <c r="H12" s="21">
        <f>D12+F12</f>
        <v>91726.7</v>
      </c>
      <c r="I12" s="21">
        <f>E12+G12</f>
        <v>91725.4</v>
      </c>
    </row>
    <row r="13" spans="1:9" s="1" customFormat="1" ht="13.5">
      <c r="A13" s="34">
        <v>1120</v>
      </c>
      <c r="B13" s="35"/>
      <c r="C13" s="35"/>
      <c r="D13" s="21">
        <f t="shared" si="1"/>
        <v>32034.3</v>
      </c>
      <c r="E13" s="21">
        <f t="shared" si="1"/>
        <v>31916.7</v>
      </c>
      <c r="F13" s="21"/>
      <c r="G13" s="21"/>
      <c r="H13" s="21">
        <f aca="true" t="shared" si="2" ref="H13:I20">D13+F13</f>
        <v>32034.3</v>
      </c>
      <c r="I13" s="21">
        <f t="shared" si="2"/>
        <v>31916.7</v>
      </c>
    </row>
    <row r="14" spans="1:9" s="1" customFormat="1" ht="13.5">
      <c r="A14" s="34">
        <v>1130</v>
      </c>
      <c r="B14" s="35"/>
      <c r="C14" s="35"/>
      <c r="D14" s="21">
        <f t="shared" si="1"/>
        <v>5249.6</v>
      </c>
      <c r="E14" s="21">
        <f t="shared" si="1"/>
        <v>3776.5</v>
      </c>
      <c r="F14" s="21">
        <f>F25</f>
        <v>10.2</v>
      </c>
      <c r="G14" s="21">
        <f>G25</f>
        <v>8.2</v>
      </c>
      <c r="H14" s="21">
        <f t="shared" si="2"/>
        <v>5259.8</v>
      </c>
      <c r="I14" s="21">
        <f t="shared" si="2"/>
        <v>3784.7</v>
      </c>
    </row>
    <row r="15" spans="1:9" s="1" customFormat="1" ht="13.5">
      <c r="A15" s="34">
        <v>1140</v>
      </c>
      <c r="B15" s="35"/>
      <c r="C15" s="35"/>
      <c r="D15" s="21">
        <f t="shared" si="1"/>
        <v>2397.8</v>
      </c>
      <c r="E15" s="21">
        <f t="shared" si="1"/>
        <v>2078.2</v>
      </c>
      <c r="F15" s="21"/>
      <c r="G15" s="21"/>
      <c r="H15" s="21">
        <f t="shared" si="2"/>
        <v>2397.8</v>
      </c>
      <c r="I15" s="21">
        <f t="shared" si="2"/>
        <v>2078.2</v>
      </c>
    </row>
    <row r="16" spans="1:9" s="1" customFormat="1" ht="13.5">
      <c r="A16" s="34">
        <v>1160</v>
      </c>
      <c r="B16" s="35"/>
      <c r="C16" s="35"/>
      <c r="D16" s="21">
        <f t="shared" si="1"/>
        <v>4663.9</v>
      </c>
      <c r="E16" s="21">
        <f t="shared" si="1"/>
        <v>4631</v>
      </c>
      <c r="F16" s="21"/>
      <c r="G16" s="21"/>
      <c r="H16" s="21">
        <f t="shared" si="2"/>
        <v>4663.9</v>
      </c>
      <c r="I16" s="21">
        <f t="shared" si="2"/>
        <v>4631</v>
      </c>
    </row>
    <row r="17" spans="1:9" s="1" customFormat="1" ht="13.5">
      <c r="A17" s="34">
        <v>1171</v>
      </c>
      <c r="B17" s="35"/>
      <c r="C17" s="35"/>
      <c r="D17" s="21">
        <f>D28+D33</f>
        <v>3330</v>
      </c>
      <c r="E17" s="21">
        <f>E28+E33</f>
        <v>3319.9</v>
      </c>
      <c r="F17" s="21">
        <f>F28+F33</f>
        <v>2842.6</v>
      </c>
      <c r="G17" s="21">
        <f>G28+G33</f>
        <v>2428.7</v>
      </c>
      <c r="H17" s="21">
        <f t="shared" si="2"/>
        <v>6172.6</v>
      </c>
      <c r="I17" s="21">
        <f t="shared" si="2"/>
        <v>5748.6</v>
      </c>
    </row>
    <row r="18" spans="1:9" s="1" customFormat="1" ht="13.5">
      <c r="A18" s="34">
        <v>1172</v>
      </c>
      <c r="B18" s="35"/>
      <c r="C18" s="35"/>
      <c r="D18" s="21">
        <f>D31</f>
        <v>77.3</v>
      </c>
      <c r="E18" s="21">
        <f>E31</f>
        <v>69.8</v>
      </c>
      <c r="F18" s="21"/>
      <c r="G18" s="21"/>
      <c r="H18" s="21">
        <f t="shared" si="2"/>
        <v>77.3</v>
      </c>
      <c r="I18" s="21">
        <f t="shared" si="2"/>
        <v>69.8</v>
      </c>
    </row>
    <row r="19" spans="1:9" s="1" customFormat="1" ht="13.5">
      <c r="A19" s="34">
        <v>1340</v>
      </c>
      <c r="B19" s="35"/>
      <c r="C19" s="35"/>
      <c r="D19" s="21">
        <f>D29</f>
        <v>274.8</v>
      </c>
      <c r="E19" s="21">
        <f>E29</f>
        <v>261.6</v>
      </c>
      <c r="F19" s="21"/>
      <c r="G19" s="21"/>
      <c r="H19" s="21">
        <f t="shared" si="2"/>
        <v>274.8</v>
      </c>
      <c r="I19" s="21">
        <f t="shared" si="2"/>
        <v>261.6</v>
      </c>
    </row>
    <row r="20" spans="1:9" s="1" customFormat="1" ht="13.5">
      <c r="A20" s="6">
        <v>2410</v>
      </c>
      <c r="B20" s="7"/>
      <c r="C20" s="7"/>
      <c r="D20" s="47"/>
      <c r="E20" s="47"/>
      <c r="F20" s="8">
        <f>F34+F36</f>
        <v>70581.9</v>
      </c>
      <c r="G20" s="8">
        <f>G34+G36</f>
        <v>70581.9</v>
      </c>
      <c r="H20" s="8">
        <f t="shared" si="2"/>
        <v>70581.9</v>
      </c>
      <c r="I20" s="8">
        <f t="shared" si="2"/>
        <v>70581.9</v>
      </c>
    </row>
    <row r="21" spans="1:9" s="30" customFormat="1" ht="12">
      <c r="A21" s="46" t="s">
        <v>67</v>
      </c>
      <c r="B21" s="46"/>
      <c r="C21" s="46"/>
      <c r="D21" s="46"/>
      <c r="E21" s="46"/>
      <c r="F21" s="46"/>
      <c r="G21" s="46"/>
      <c r="H21" s="46"/>
      <c r="I21" s="46"/>
    </row>
    <row r="22" spans="1:9" s="1" customFormat="1" ht="52.5" customHeight="1">
      <c r="A22" s="36">
        <v>5491010</v>
      </c>
      <c r="B22" s="37" t="s">
        <v>68</v>
      </c>
      <c r="C22" s="38" t="s">
        <v>19</v>
      </c>
      <c r="D22" s="39">
        <f aca="true" t="shared" si="3" ref="D22:I22">SUM(D23:D29)</f>
        <v>136360.09999999998</v>
      </c>
      <c r="E22" s="39">
        <f t="shared" si="3"/>
        <v>134402.4</v>
      </c>
      <c r="F22" s="39">
        <f t="shared" si="3"/>
        <v>10.2</v>
      </c>
      <c r="G22" s="39">
        <f t="shared" si="3"/>
        <v>8.2</v>
      </c>
      <c r="H22" s="39">
        <f t="shared" si="3"/>
        <v>136370.3</v>
      </c>
      <c r="I22" s="39">
        <f t="shared" si="3"/>
        <v>134410.6</v>
      </c>
    </row>
    <row r="23" spans="1:9" s="1" customFormat="1" ht="13.5">
      <c r="A23" s="34">
        <v>1110</v>
      </c>
      <c r="B23" s="35"/>
      <c r="C23" s="40"/>
      <c r="D23" s="21">
        <v>91726.7</v>
      </c>
      <c r="E23" s="21">
        <v>91725.4</v>
      </c>
      <c r="F23" s="21"/>
      <c r="G23" s="21"/>
      <c r="H23" s="21">
        <f aca="true" t="shared" si="4" ref="H23:I29">D23+F23</f>
        <v>91726.7</v>
      </c>
      <c r="I23" s="21">
        <f t="shared" si="4"/>
        <v>91725.4</v>
      </c>
    </row>
    <row r="24" spans="1:9" s="1" customFormat="1" ht="13.5">
      <c r="A24" s="34">
        <v>1120</v>
      </c>
      <c r="B24" s="35"/>
      <c r="C24" s="40"/>
      <c r="D24" s="21">
        <v>32034.3</v>
      </c>
      <c r="E24" s="21">
        <v>31916.7</v>
      </c>
      <c r="F24" s="21"/>
      <c r="G24" s="21"/>
      <c r="H24" s="21">
        <f t="shared" si="4"/>
        <v>32034.3</v>
      </c>
      <c r="I24" s="21">
        <f t="shared" si="4"/>
        <v>31916.7</v>
      </c>
    </row>
    <row r="25" spans="1:9" s="1" customFormat="1" ht="13.5">
      <c r="A25" s="34">
        <v>1130</v>
      </c>
      <c r="B25" s="35"/>
      <c r="C25" s="40"/>
      <c r="D25" s="21">
        <v>5249.6</v>
      </c>
      <c r="E25" s="21">
        <v>3776.5</v>
      </c>
      <c r="F25" s="21">
        <v>10.2</v>
      </c>
      <c r="G25" s="21">
        <v>8.2</v>
      </c>
      <c r="H25" s="21">
        <f t="shared" si="4"/>
        <v>5259.8</v>
      </c>
      <c r="I25" s="21">
        <f t="shared" si="4"/>
        <v>3784.7</v>
      </c>
    </row>
    <row r="26" spans="1:9" s="1" customFormat="1" ht="13.5">
      <c r="A26" s="34">
        <v>1140</v>
      </c>
      <c r="B26" s="35"/>
      <c r="C26" s="40"/>
      <c r="D26" s="21">
        <v>2397.8</v>
      </c>
      <c r="E26" s="21">
        <v>2078.2</v>
      </c>
      <c r="F26" s="21"/>
      <c r="G26" s="21"/>
      <c r="H26" s="21">
        <f t="shared" si="4"/>
        <v>2397.8</v>
      </c>
      <c r="I26" s="21">
        <f t="shared" si="4"/>
        <v>2078.2</v>
      </c>
    </row>
    <row r="27" spans="1:9" s="1" customFormat="1" ht="13.5">
      <c r="A27" s="34">
        <v>1160</v>
      </c>
      <c r="B27" s="35"/>
      <c r="C27" s="40"/>
      <c r="D27" s="21">
        <v>4663.9</v>
      </c>
      <c r="E27" s="21">
        <v>4631</v>
      </c>
      <c r="F27" s="21"/>
      <c r="G27" s="21"/>
      <c r="H27" s="21">
        <f t="shared" si="4"/>
        <v>4663.9</v>
      </c>
      <c r="I27" s="21">
        <f t="shared" si="4"/>
        <v>4631</v>
      </c>
    </row>
    <row r="28" spans="1:9" s="1" customFormat="1" ht="13.5">
      <c r="A28" s="34">
        <v>1171</v>
      </c>
      <c r="B28" s="35"/>
      <c r="C28" s="40"/>
      <c r="D28" s="21">
        <v>13</v>
      </c>
      <c r="E28" s="21">
        <v>13</v>
      </c>
      <c r="F28" s="21"/>
      <c r="G28" s="21"/>
      <c r="H28" s="21">
        <f t="shared" si="4"/>
        <v>13</v>
      </c>
      <c r="I28" s="21">
        <f t="shared" si="4"/>
        <v>13</v>
      </c>
    </row>
    <row r="29" spans="1:9" s="1" customFormat="1" ht="13.5">
      <c r="A29" s="6">
        <v>1340</v>
      </c>
      <c r="B29" s="7"/>
      <c r="C29" s="45"/>
      <c r="D29" s="8">
        <v>274.8</v>
      </c>
      <c r="E29" s="8">
        <v>261.6</v>
      </c>
      <c r="F29" s="8"/>
      <c r="G29" s="8"/>
      <c r="H29" s="8">
        <f t="shared" si="4"/>
        <v>274.8</v>
      </c>
      <c r="I29" s="8">
        <f t="shared" si="4"/>
        <v>261.6</v>
      </c>
    </row>
    <row r="30" spans="1:9" s="1" customFormat="1" ht="50.25" customHeight="1">
      <c r="A30" s="41">
        <v>5491020</v>
      </c>
      <c r="B30" s="42" t="s">
        <v>69</v>
      </c>
      <c r="C30" s="43" t="s">
        <v>50</v>
      </c>
      <c r="D30" s="44">
        <f>SUM(D31)</f>
        <v>77.3</v>
      </c>
      <c r="E30" s="44">
        <f>SUM(E31)</f>
        <v>69.8</v>
      </c>
      <c r="F30" s="44"/>
      <c r="G30" s="44"/>
      <c r="H30" s="44">
        <f>SUM(H31)</f>
        <v>77.3</v>
      </c>
      <c r="I30" s="44">
        <f>SUM(I31)</f>
        <v>69.8</v>
      </c>
    </row>
    <row r="31" spans="1:9" s="1" customFormat="1" ht="13.5">
      <c r="A31" s="6">
        <v>1172</v>
      </c>
      <c r="B31" s="7"/>
      <c r="C31" s="7"/>
      <c r="D31" s="8">
        <v>77.3</v>
      </c>
      <c r="E31" s="8">
        <v>69.8</v>
      </c>
      <c r="F31" s="8"/>
      <c r="G31" s="8"/>
      <c r="H31" s="8">
        <f>D31+F31</f>
        <v>77.3</v>
      </c>
      <c r="I31" s="8">
        <f>E31+G31</f>
        <v>69.8</v>
      </c>
    </row>
    <row r="32" spans="1:9" s="1" customFormat="1" ht="23.25" customHeight="1">
      <c r="A32" s="41">
        <v>5491030</v>
      </c>
      <c r="B32" s="42" t="s">
        <v>70</v>
      </c>
      <c r="C32" s="43" t="s">
        <v>63</v>
      </c>
      <c r="D32" s="44">
        <f aca="true" t="shared" si="5" ref="D32:I32">SUM(D33:D34)</f>
        <v>3317</v>
      </c>
      <c r="E32" s="44">
        <f t="shared" si="5"/>
        <v>3306.9</v>
      </c>
      <c r="F32" s="44">
        <f t="shared" si="5"/>
        <v>3424.5</v>
      </c>
      <c r="G32" s="44">
        <f t="shared" si="5"/>
        <v>3010.6</v>
      </c>
      <c r="H32" s="44">
        <f t="shared" si="5"/>
        <v>6741.5</v>
      </c>
      <c r="I32" s="44">
        <f t="shared" si="5"/>
        <v>6317.5</v>
      </c>
    </row>
    <row r="33" spans="1:9" s="1" customFormat="1" ht="13.5">
      <c r="A33" s="34">
        <v>1171</v>
      </c>
      <c r="B33" s="35"/>
      <c r="C33" s="35"/>
      <c r="D33" s="21">
        <v>3317</v>
      </c>
      <c r="E33" s="21">
        <v>3306.9</v>
      </c>
      <c r="F33" s="21">
        <v>2842.6</v>
      </c>
      <c r="G33" s="21">
        <v>2428.7</v>
      </c>
      <c r="H33" s="21">
        <f>D33+F33</f>
        <v>6159.6</v>
      </c>
      <c r="I33" s="21">
        <f>E33+G33</f>
        <v>5735.6</v>
      </c>
    </row>
    <row r="34" spans="1:9" s="1" customFormat="1" ht="13.5">
      <c r="A34" s="6">
        <v>2410</v>
      </c>
      <c r="B34" s="7"/>
      <c r="C34" s="7"/>
      <c r="D34" s="8"/>
      <c r="E34" s="8"/>
      <c r="F34" s="8">
        <v>581.9</v>
      </c>
      <c r="G34" s="8">
        <v>581.9</v>
      </c>
      <c r="H34" s="8">
        <f>D34+F34</f>
        <v>581.9</v>
      </c>
      <c r="I34" s="8">
        <f>E34+G34</f>
        <v>581.9</v>
      </c>
    </row>
    <row r="35" spans="1:9" s="1" customFormat="1" ht="126.75" customHeight="1">
      <c r="A35" s="41">
        <v>5491040</v>
      </c>
      <c r="B35" s="42" t="s">
        <v>71</v>
      </c>
      <c r="C35" s="48" t="s">
        <v>72</v>
      </c>
      <c r="D35" s="44"/>
      <c r="E35" s="44"/>
      <c r="F35" s="44">
        <f>F36</f>
        <v>70000</v>
      </c>
      <c r="G35" s="44">
        <f>G36</f>
        <v>70000</v>
      </c>
      <c r="H35" s="44">
        <f>H36</f>
        <v>70000</v>
      </c>
      <c r="I35" s="44">
        <f>I36</f>
        <v>70000</v>
      </c>
    </row>
    <row r="36" spans="1:9" s="1" customFormat="1" ht="13.5">
      <c r="A36" s="6">
        <v>2410</v>
      </c>
      <c r="B36" s="7"/>
      <c r="C36" s="7"/>
      <c r="D36" s="8"/>
      <c r="E36" s="8"/>
      <c r="F36" s="8">
        <v>70000</v>
      </c>
      <c r="G36" s="8">
        <v>70000</v>
      </c>
      <c r="H36" s="8">
        <f>D36+F36</f>
        <v>70000</v>
      </c>
      <c r="I36" s="8">
        <f>E36+G36</f>
        <v>70000</v>
      </c>
    </row>
    <row r="37" s="1" customFormat="1" ht="13.5"/>
    <row r="38" spans="1:9" s="1" customFormat="1" ht="28.5" customHeight="1">
      <c r="A38" s="58" t="s">
        <v>73</v>
      </c>
      <c r="B38" s="58"/>
      <c r="C38" s="58"/>
      <c r="D38" s="58"/>
      <c r="E38" s="58"/>
      <c r="F38" s="58"/>
      <c r="G38" s="32"/>
      <c r="H38" s="57" t="s">
        <v>74</v>
      </c>
      <c r="I38" s="57"/>
    </row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</sheetData>
  <sheetProtection/>
  <mergeCells count="15">
    <mergeCell ref="F8:G8"/>
    <mergeCell ref="H8:I8"/>
    <mergeCell ref="A8:A9"/>
    <mergeCell ref="B8:B9"/>
    <mergeCell ref="C8:C9"/>
    <mergeCell ref="H38:I38"/>
    <mergeCell ref="A38:F38"/>
    <mergeCell ref="A5:I5"/>
    <mergeCell ref="A6:I6"/>
    <mergeCell ref="A11:C11"/>
    <mergeCell ref="A1:I1"/>
    <mergeCell ref="A2:I2"/>
    <mergeCell ref="A3:I3"/>
    <mergeCell ref="A4:I4"/>
    <mergeCell ref="D8:E8"/>
  </mergeCells>
  <printOptions/>
  <pageMargins left="0.34" right="0.23" top="0.35" bottom="0.25" header="0.29" footer="0.25"/>
  <pageSetup horizontalDpi="600" verticalDpi="600" orientation="portrait" paperSize="9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SheetLayoutView="100" zoomScalePageLayoutView="0" workbookViewId="0" topLeftCell="A1">
      <selection activeCell="A71" sqref="A71:M71"/>
    </sheetView>
  </sheetViews>
  <sheetFormatPr defaultColWidth="9.00390625" defaultRowHeight="12.75"/>
  <cols>
    <col min="1" max="1" width="4.25390625" style="0" customWidth="1"/>
    <col min="2" max="2" width="26.375" style="0" customWidth="1"/>
    <col min="3" max="3" width="7.375" style="0" customWidth="1"/>
    <col min="4" max="4" width="18.625" style="0" customWidth="1"/>
    <col min="6" max="6" width="10.625" style="0" customWidth="1"/>
    <col min="7" max="7" width="8.375" style="0" customWidth="1"/>
    <col min="8" max="8" width="9.875" style="0" customWidth="1"/>
    <col min="9" max="9" width="10.25390625" style="0" customWidth="1"/>
    <col min="10" max="10" width="8.25390625" style="0" customWidth="1"/>
    <col min="11" max="11" width="9.00390625" style="0" customWidth="1"/>
    <col min="12" max="12" width="10.875" style="0" customWidth="1"/>
    <col min="13" max="13" width="8.75390625" style="0" customWidth="1"/>
  </cols>
  <sheetData>
    <row r="1" spans="1:13" ht="16.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6.5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6.5">
      <c r="A3" s="74" t="s">
        <v>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2.75">
      <c r="A4" s="59" t="s">
        <v>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6.5">
      <c r="A5" s="72" t="s">
        <v>14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6.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27" customHeight="1">
      <c r="A7" s="68">
        <v>5491010</v>
      </c>
      <c r="B7" s="68"/>
      <c r="C7" s="68"/>
      <c r="D7" s="3"/>
      <c r="E7" s="69" t="s">
        <v>19</v>
      </c>
      <c r="F7" s="69"/>
      <c r="G7" s="69"/>
      <c r="H7" s="69"/>
      <c r="I7" s="69"/>
      <c r="J7" s="69"/>
      <c r="K7" s="69"/>
      <c r="L7" s="69"/>
      <c r="M7" s="69"/>
    </row>
    <row r="8" spans="1:13" s="24" customFormat="1" ht="22.5" customHeight="1">
      <c r="A8" s="70" t="s">
        <v>17</v>
      </c>
      <c r="B8" s="70"/>
      <c r="C8" s="70"/>
      <c r="D8" s="23"/>
      <c r="E8" s="71" t="s">
        <v>18</v>
      </c>
      <c r="F8" s="71"/>
      <c r="G8" s="71"/>
      <c r="H8" s="71"/>
      <c r="I8" s="71"/>
      <c r="J8" s="71"/>
      <c r="K8" s="71"/>
      <c r="L8" s="71"/>
      <c r="M8" s="71"/>
    </row>
    <row r="9" spans="1:13" ht="9.75" customHeight="1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2.5" customHeight="1">
      <c r="A10" s="64" t="s">
        <v>20</v>
      </c>
      <c r="B10" s="64" t="s">
        <v>21</v>
      </c>
      <c r="C10" s="64" t="s">
        <v>22</v>
      </c>
      <c r="D10" s="66" t="s">
        <v>23</v>
      </c>
      <c r="E10" s="64" t="s">
        <v>27</v>
      </c>
      <c r="F10" s="64"/>
      <c r="G10" s="64"/>
      <c r="H10" s="64" t="s">
        <v>28</v>
      </c>
      <c r="I10" s="64"/>
      <c r="J10" s="64"/>
      <c r="K10" s="64" t="s">
        <v>49</v>
      </c>
      <c r="L10" s="64"/>
      <c r="M10" s="64"/>
    </row>
    <row r="11" spans="1:13" ht="27" customHeight="1">
      <c r="A11" s="64"/>
      <c r="B11" s="64"/>
      <c r="C11" s="64"/>
      <c r="D11" s="67"/>
      <c r="E11" s="2" t="s">
        <v>24</v>
      </c>
      <c r="F11" s="2" t="s">
        <v>25</v>
      </c>
      <c r="G11" s="2" t="s">
        <v>26</v>
      </c>
      <c r="H11" s="2" t="s">
        <v>24</v>
      </c>
      <c r="I11" s="2" t="s">
        <v>25</v>
      </c>
      <c r="J11" s="2" t="s">
        <v>26</v>
      </c>
      <c r="K11" s="2" t="s">
        <v>24</v>
      </c>
      <c r="L11" s="2" t="s">
        <v>25</v>
      </c>
      <c r="M11" s="2" t="s">
        <v>26</v>
      </c>
    </row>
    <row r="12" spans="1:13" ht="13.5">
      <c r="A12" s="16">
        <v>1</v>
      </c>
      <c r="B12" s="16" t="s">
        <v>29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" customFormat="1" ht="33.75" customHeight="1">
      <c r="A13" s="13">
        <v>1</v>
      </c>
      <c r="B13" s="25" t="s">
        <v>30</v>
      </c>
      <c r="C13" s="13" t="s">
        <v>31</v>
      </c>
      <c r="D13" s="14" t="s">
        <v>32</v>
      </c>
      <c r="E13" s="15">
        <v>2950</v>
      </c>
      <c r="F13" s="15"/>
      <c r="G13" s="15">
        <f>SUM(E13:F13)</f>
        <v>2950</v>
      </c>
      <c r="H13" s="15">
        <v>2512</v>
      </c>
      <c r="I13" s="15"/>
      <c r="J13" s="15">
        <f>SUM(H13:I13)</f>
        <v>2512</v>
      </c>
      <c r="K13" s="15">
        <f>H13-E13</f>
        <v>-438</v>
      </c>
      <c r="L13" s="15"/>
      <c r="M13" s="15">
        <f>SUM(K13:L13)</f>
        <v>-438</v>
      </c>
    </row>
    <row r="14" spans="1:13" s="1" customFormat="1" ht="54" customHeight="1">
      <c r="A14" s="18">
        <v>2</v>
      </c>
      <c r="B14" s="22" t="s">
        <v>33</v>
      </c>
      <c r="C14" s="18" t="s">
        <v>31</v>
      </c>
      <c r="D14" s="19" t="s">
        <v>34</v>
      </c>
      <c r="E14" s="20">
        <v>1400</v>
      </c>
      <c r="F14" s="21"/>
      <c r="G14" s="20">
        <f>SUM(E14:F14)</f>
        <v>1400</v>
      </c>
      <c r="H14" s="20">
        <v>1293</v>
      </c>
      <c r="I14" s="21"/>
      <c r="J14" s="20">
        <f>SUM(H14:I14)</f>
        <v>1293</v>
      </c>
      <c r="K14" s="20">
        <f>H14-E14</f>
        <v>-107</v>
      </c>
      <c r="L14" s="20"/>
      <c r="M14" s="20">
        <f>SUM(K14:L14)</f>
        <v>-107</v>
      </c>
    </row>
    <row r="15" spans="1:13" s="1" customFormat="1" ht="33.75" customHeight="1">
      <c r="A15" s="13">
        <v>3</v>
      </c>
      <c r="B15" s="26" t="s">
        <v>53</v>
      </c>
      <c r="C15" s="13" t="s">
        <v>37</v>
      </c>
      <c r="D15" s="14" t="s">
        <v>54</v>
      </c>
      <c r="E15" s="15">
        <v>29</v>
      </c>
      <c r="F15" s="27"/>
      <c r="G15" s="28">
        <f>SUM(E15:F15)</f>
        <v>29</v>
      </c>
      <c r="H15" s="28">
        <v>29</v>
      </c>
      <c r="I15" s="29"/>
      <c r="J15" s="28">
        <f>SUM(H15:I15)</f>
        <v>29</v>
      </c>
      <c r="K15" s="15"/>
      <c r="L15" s="15"/>
      <c r="M15" s="15"/>
    </row>
    <row r="16" spans="1:13" s="1" customFormat="1" ht="13.5">
      <c r="A16" s="16">
        <v>2</v>
      </c>
      <c r="B16" s="16" t="s">
        <v>35</v>
      </c>
      <c r="C16" s="16"/>
      <c r="D16" s="16"/>
      <c r="E16" s="16"/>
      <c r="F16" s="16"/>
      <c r="G16" s="16"/>
      <c r="H16" s="17"/>
      <c r="I16" s="16"/>
      <c r="J16" s="16"/>
      <c r="K16" s="16"/>
      <c r="L16" s="16"/>
      <c r="M16" s="16"/>
    </row>
    <row r="17" spans="1:13" s="1" customFormat="1" ht="54" customHeight="1">
      <c r="A17" s="18">
        <v>1</v>
      </c>
      <c r="B17" s="22" t="s">
        <v>36</v>
      </c>
      <c r="C17" s="18" t="s">
        <v>37</v>
      </c>
      <c r="D17" s="19" t="s">
        <v>34</v>
      </c>
      <c r="E17" s="20">
        <v>8320</v>
      </c>
      <c r="F17" s="20"/>
      <c r="G17" s="20">
        <f>SUM(E17:F17)</f>
        <v>8320</v>
      </c>
      <c r="H17" s="20">
        <v>8433</v>
      </c>
      <c r="I17" s="20"/>
      <c r="J17" s="20">
        <f>SUM(H17:I17)</f>
        <v>8433</v>
      </c>
      <c r="K17" s="20">
        <f>H17-E17</f>
        <v>113</v>
      </c>
      <c r="L17" s="20"/>
      <c r="M17" s="20">
        <f>SUM(K17:L17)</f>
        <v>113</v>
      </c>
    </row>
    <row r="18" spans="1:13" s="1" customFormat="1" ht="54" customHeight="1">
      <c r="A18" s="18">
        <v>2</v>
      </c>
      <c r="B18" s="22" t="s">
        <v>38</v>
      </c>
      <c r="C18" s="18" t="s">
        <v>37</v>
      </c>
      <c r="D18" s="19" t="s">
        <v>34</v>
      </c>
      <c r="E18" s="20">
        <v>158280</v>
      </c>
      <c r="F18" s="21"/>
      <c r="G18" s="20">
        <f>SUM(E18:F18)</f>
        <v>158280</v>
      </c>
      <c r="H18" s="20">
        <v>162862</v>
      </c>
      <c r="I18" s="21"/>
      <c r="J18" s="20">
        <f>SUM(H18:I18)</f>
        <v>162862</v>
      </c>
      <c r="K18" s="20">
        <f>H18-E18</f>
        <v>4582</v>
      </c>
      <c r="L18" s="20"/>
      <c r="M18" s="20">
        <f>SUM(K18:L18)</f>
        <v>4582</v>
      </c>
    </row>
    <row r="19" spans="1:13" s="1" customFormat="1" ht="39" customHeight="1">
      <c r="A19" s="9">
        <v>3</v>
      </c>
      <c r="B19" s="10" t="s">
        <v>39</v>
      </c>
      <c r="C19" s="9" t="s">
        <v>37</v>
      </c>
      <c r="D19" s="11" t="s">
        <v>40</v>
      </c>
      <c r="E19" s="12">
        <v>21</v>
      </c>
      <c r="F19" s="8"/>
      <c r="G19" s="12">
        <f>SUM(E19:F19)</f>
        <v>21</v>
      </c>
      <c r="H19" s="12">
        <v>23</v>
      </c>
      <c r="I19" s="8"/>
      <c r="J19" s="12">
        <f>SUM(H19:I19)</f>
        <v>23</v>
      </c>
      <c r="K19" s="12">
        <f>H19-E19</f>
        <v>2</v>
      </c>
      <c r="L19" s="12"/>
      <c r="M19" s="12">
        <f>SUM(K19:L19)</f>
        <v>2</v>
      </c>
    </row>
    <row r="20" spans="1:13" s="1" customFormat="1" ht="13.5">
      <c r="A20" s="16">
        <v>3</v>
      </c>
      <c r="B20" s="16" t="s">
        <v>41</v>
      </c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</row>
    <row r="21" spans="1:13" s="1" customFormat="1" ht="54" customHeight="1">
      <c r="A21" s="18">
        <v>1</v>
      </c>
      <c r="B21" s="22" t="s">
        <v>42</v>
      </c>
      <c r="C21" s="18" t="s">
        <v>37</v>
      </c>
      <c r="D21" s="19" t="s">
        <v>34</v>
      </c>
      <c r="E21" s="21">
        <v>5.9</v>
      </c>
      <c r="F21" s="21"/>
      <c r="G21" s="21"/>
      <c r="H21" s="21">
        <v>6.5</v>
      </c>
      <c r="I21" s="21"/>
      <c r="J21" s="21"/>
      <c r="K21" s="21">
        <f>H21-E21</f>
        <v>0.5999999999999996</v>
      </c>
      <c r="L21" s="21"/>
      <c r="M21" s="21"/>
    </row>
    <row r="22" spans="1:13" s="1" customFormat="1" ht="54" customHeight="1">
      <c r="A22" s="18">
        <v>2</v>
      </c>
      <c r="B22" s="22" t="s">
        <v>43</v>
      </c>
      <c r="C22" s="18" t="s">
        <v>37</v>
      </c>
      <c r="D22" s="19" t="s">
        <v>34</v>
      </c>
      <c r="E22" s="21">
        <v>113.1</v>
      </c>
      <c r="F22" s="21"/>
      <c r="G22" s="21"/>
      <c r="H22" s="21">
        <v>126</v>
      </c>
      <c r="I22" s="21"/>
      <c r="J22" s="21"/>
      <c r="K22" s="21">
        <f>H22-E22</f>
        <v>12.900000000000006</v>
      </c>
      <c r="L22" s="21"/>
      <c r="M22" s="21"/>
    </row>
    <row r="23" spans="1:13" s="1" customFormat="1" ht="13.5">
      <c r="A23" s="16">
        <v>4</v>
      </c>
      <c r="B23" s="16" t="s">
        <v>44</v>
      </c>
      <c r="C23" s="16"/>
      <c r="D23" s="16"/>
      <c r="E23" s="16"/>
      <c r="F23" s="16"/>
      <c r="G23" s="16"/>
      <c r="H23" s="17"/>
      <c r="I23" s="16"/>
      <c r="J23" s="16"/>
      <c r="K23" s="16"/>
      <c r="L23" s="16"/>
      <c r="M23" s="16"/>
    </row>
    <row r="24" spans="1:13" s="1" customFormat="1" ht="54" customHeight="1">
      <c r="A24" s="18">
        <v>1</v>
      </c>
      <c r="B24" s="22" t="s">
        <v>45</v>
      </c>
      <c r="C24" s="18" t="s">
        <v>46</v>
      </c>
      <c r="D24" s="19" t="s">
        <v>47</v>
      </c>
      <c r="E24" s="21">
        <v>2</v>
      </c>
      <c r="F24" s="21"/>
      <c r="G24" s="21"/>
      <c r="H24" s="21">
        <v>5.4</v>
      </c>
      <c r="I24" s="21"/>
      <c r="J24" s="21"/>
      <c r="K24" s="21">
        <f>H24-E24</f>
        <v>3.4000000000000004</v>
      </c>
      <c r="L24" s="21"/>
      <c r="M24" s="21"/>
    </row>
    <row r="25" spans="1:13" s="1" customFormat="1" ht="54.75" customHeight="1">
      <c r="A25" s="9">
        <v>2</v>
      </c>
      <c r="B25" s="10" t="s">
        <v>48</v>
      </c>
      <c r="C25" s="9" t="s">
        <v>46</v>
      </c>
      <c r="D25" s="11" t="s">
        <v>47</v>
      </c>
      <c r="E25" s="8">
        <v>1</v>
      </c>
      <c r="F25" s="8"/>
      <c r="G25" s="8"/>
      <c r="H25" s="8">
        <v>4.6</v>
      </c>
      <c r="I25" s="8"/>
      <c r="J25" s="8"/>
      <c r="K25" s="8">
        <f>H25-E25</f>
        <v>3.5999999999999996</v>
      </c>
      <c r="L25" s="8"/>
      <c r="M25" s="8"/>
    </row>
    <row r="26" s="1" customFormat="1" ht="13.5"/>
    <row r="27" spans="1:13" ht="14.25" customHeight="1">
      <c r="A27" s="68">
        <v>5491020</v>
      </c>
      <c r="B27" s="68"/>
      <c r="C27" s="68"/>
      <c r="D27" s="3"/>
      <c r="E27" s="69" t="s">
        <v>50</v>
      </c>
      <c r="F27" s="69"/>
      <c r="G27" s="69"/>
      <c r="H27" s="69"/>
      <c r="I27" s="69"/>
      <c r="J27" s="69"/>
      <c r="K27" s="69"/>
      <c r="L27" s="69"/>
      <c r="M27" s="69"/>
    </row>
    <row r="28" spans="1:13" s="24" customFormat="1" ht="22.5" customHeight="1">
      <c r="A28" s="70" t="s">
        <v>17</v>
      </c>
      <c r="B28" s="70"/>
      <c r="C28" s="70"/>
      <c r="D28" s="23"/>
      <c r="E28" s="71" t="s">
        <v>18</v>
      </c>
      <c r="F28" s="71"/>
      <c r="G28" s="71"/>
      <c r="H28" s="71"/>
      <c r="I28" s="71"/>
      <c r="J28" s="71"/>
      <c r="K28" s="71"/>
      <c r="L28" s="71"/>
      <c r="M28" s="71"/>
    </row>
    <row r="29" spans="1:13" ht="9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22.5" customHeight="1">
      <c r="A30" s="64" t="s">
        <v>20</v>
      </c>
      <c r="B30" s="64" t="s">
        <v>21</v>
      </c>
      <c r="C30" s="64" t="s">
        <v>22</v>
      </c>
      <c r="D30" s="66" t="s">
        <v>23</v>
      </c>
      <c r="E30" s="64" t="s">
        <v>27</v>
      </c>
      <c r="F30" s="64"/>
      <c r="G30" s="64"/>
      <c r="H30" s="64" t="s">
        <v>28</v>
      </c>
      <c r="I30" s="64"/>
      <c r="J30" s="64"/>
      <c r="K30" s="64" t="s">
        <v>49</v>
      </c>
      <c r="L30" s="64"/>
      <c r="M30" s="64"/>
    </row>
    <row r="31" spans="1:13" ht="27" customHeight="1">
      <c r="A31" s="64"/>
      <c r="B31" s="64"/>
      <c r="C31" s="64"/>
      <c r="D31" s="67"/>
      <c r="E31" s="2" t="s">
        <v>24</v>
      </c>
      <c r="F31" s="2" t="s">
        <v>25</v>
      </c>
      <c r="G31" s="2" t="s">
        <v>26</v>
      </c>
      <c r="H31" s="2" t="s">
        <v>24</v>
      </c>
      <c r="I31" s="2" t="s">
        <v>25</v>
      </c>
      <c r="J31" s="2" t="s">
        <v>26</v>
      </c>
      <c r="K31" s="2" t="s">
        <v>24</v>
      </c>
      <c r="L31" s="2" t="s">
        <v>25</v>
      </c>
      <c r="M31" s="2" t="s">
        <v>26</v>
      </c>
    </row>
    <row r="32" spans="1:13" ht="13.5">
      <c r="A32" s="16">
        <v>1</v>
      </c>
      <c r="B32" s="16" t="s">
        <v>29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1" customFormat="1" ht="72.75" customHeight="1">
      <c r="A33" s="13">
        <v>1</v>
      </c>
      <c r="B33" s="26" t="s">
        <v>51</v>
      </c>
      <c r="C33" s="13" t="s">
        <v>37</v>
      </c>
      <c r="D33" s="14" t="s">
        <v>52</v>
      </c>
      <c r="E33" s="15">
        <v>1</v>
      </c>
      <c r="F33" s="15"/>
      <c r="G33" s="15">
        <f>SUM(E33:F33)</f>
        <v>1</v>
      </c>
      <c r="H33" s="15">
        <v>1</v>
      </c>
      <c r="I33" s="15"/>
      <c r="J33" s="15">
        <f>SUM(H33:I33)</f>
        <v>1</v>
      </c>
      <c r="K33" s="15"/>
      <c r="L33" s="15"/>
      <c r="M33" s="15"/>
    </row>
    <row r="34" spans="1:13" s="1" customFormat="1" ht="13.5">
      <c r="A34" s="16">
        <v>2</v>
      </c>
      <c r="B34" s="16" t="s">
        <v>35</v>
      </c>
      <c r="C34" s="16"/>
      <c r="D34" s="16"/>
      <c r="E34" s="16"/>
      <c r="F34" s="16"/>
      <c r="G34" s="16"/>
      <c r="H34" s="17"/>
      <c r="I34" s="16"/>
      <c r="J34" s="16"/>
      <c r="K34" s="16"/>
      <c r="L34" s="16"/>
      <c r="M34" s="16"/>
    </row>
    <row r="35" spans="1:13" s="1" customFormat="1" ht="72.75" customHeight="1">
      <c r="A35" s="18">
        <v>1</v>
      </c>
      <c r="B35" s="22" t="s">
        <v>55</v>
      </c>
      <c r="C35" s="18" t="s">
        <v>31</v>
      </c>
      <c r="D35" s="14" t="s">
        <v>52</v>
      </c>
      <c r="E35" s="20">
        <v>340</v>
      </c>
      <c r="F35" s="20"/>
      <c r="G35" s="20">
        <f>SUM(E35:F35)</f>
        <v>340</v>
      </c>
      <c r="H35" s="20">
        <v>610</v>
      </c>
      <c r="I35" s="20"/>
      <c r="J35" s="20">
        <f>SUM(H35:I35)</f>
        <v>610</v>
      </c>
      <c r="K35" s="20">
        <f>H35-E35</f>
        <v>270</v>
      </c>
      <c r="L35" s="20"/>
      <c r="M35" s="20">
        <f>SUM(K35:L35)</f>
        <v>270</v>
      </c>
    </row>
    <row r="36" spans="1:13" s="1" customFormat="1" ht="36.75" customHeight="1">
      <c r="A36" s="9">
        <v>2</v>
      </c>
      <c r="B36" s="10" t="s">
        <v>56</v>
      </c>
      <c r="C36" s="9" t="s">
        <v>37</v>
      </c>
      <c r="D36" s="11" t="s">
        <v>57</v>
      </c>
      <c r="E36" s="12">
        <v>19</v>
      </c>
      <c r="F36" s="8"/>
      <c r="G36" s="12">
        <f>SUM(E36:F36)</f>
        <v>19</v>
      </c>
      <c r="H36" s="12">
        <v>27</v>
      </c>
      <c r="I36" s="8"/>
      <c r="J36" s="12">
        <f>SUM(H36:I36)</f>
        <v>27</v>
      </c>
      <c r="K36" s="12">
        <f>H36-E36</f>
        <v>8</v>
      </c>
      <c r="L36" s="12"/>
      <c r="M36" s="12">
        <f>SUM(K36:L36)</f>
        <v>8</v>
      </c>
    </row>
    <row r="37" spans="1:13" s="1" customFormat="1" ht="13.5">
      <c r="A37" s="16">
        <v>3</v>
      </c>
      <c r="B37" s="16" t="s">
        <v>41</v>
      </c>
      <c r="C37" s="16"/>
      <c r="D37" s="16"/>
      <c r="E37" s="16"/>
      <c r="F37" s="16"/>
      <c r="G37" s="16"/>
      <c r="H37" s="17"/>
      <c r="I37" s="16"/>
      <c r="J37" s="16"/>
      <c r="K37" s="16"/>
      <c r="L37" s="16"/>
      <c r="M37" s="16"/>
    </row>
    <row r="38" spans="1:13" s="1" customFormat="1" ht="27" customHeight="1">
      <c r="A38" s="18">
        <v>1</v>
      </c>
      <c r="B38" s="22" t="s">
        <v>58</v>
      </c>
      <c r="C38" s="18" t="s">
        <v>59</v>
      </c>
      <c r="D38" s="19" t="s">
        <v>60</v>
      </c>
      <c r="E38" s="21">
        <v>227.3</v>
      </c>
      <c r="F38" s="21"/>
      <c r="G38" s="21"/>
      <c r="H38" s="21">
        <v>114.5</v>
      </c>
      <c r="I38" s="21"/>
      <c r="J38" s="21"/>
      <c r="K38" s="21">
        <f>H38-E38</f>
        <v>-112.80000000000001</v>
      </c>
      <c r="L38" s="21"/>
      <c r="M38" s="21"/>
    </row>
    <row r="39" spans="1:13" s="1" customFormat="1" ht="13.5">
      <c r="A39" s="16">
        <v>4</v>
      </c>
      <c r="B39" s="16" t="s">
        <v>44</v>
      </c>
      <c r="C39" s="16"/>
      <c r="D39" s="16"/>
      <c r="E39" s="16"/>
      <c r="F39" s="16"/>
      <c r="G39" s="16"/>
      <c r="H39" s="17"/>
      <c r="I39" s="16"/>
      <c r="J39" s="16"/>
      <c r="K39" s="16"/>
      <c r="L39" s="16"/>
      <c r="M39" s="16"/>
    </row>
    <row r="40" spans="1:13" s="1" customFormat="1" ht="56.25" customHeight="1">
      <c r="A40" s="18">
        <v>1</v>
      </c>
      <c r="B40" s="22" t="s">
        <v>61</v>
      </c>
      <c r="C40" s="18" t="s">
        <v>46</v>
      </c>
      <c r="D40" s="19" t="s">
        <v>108</v>
      </c>
      <c r="E40" s="21">
        <v>100</v>
      </c>
      <c r="F40" s="21"/>
      <c r="G40" s="21"/>
      <c r="H40" s="21">
        <v>100</v>
      </c>
      <c r="I40" s="21"/>
      <c r="J40" s="21"/>
      <c r="K40" s="21"/>
      <c r="L40" s="21"/>
      <c r="M40" s="21"/>
    </row>
    <row r="41" spans="1:13" s="1" customFormat="1" ht="36.75" customHeight="1">
      <c r="A41" s="9">
        <v>2</v>
      </c>
      <c r="B41" s="10" t="s">
        <v>62</v>
      </c>
      <c r="C41" s="9" t="s">
        <v>46</v>
      </c>
      <c r="D41" s="11" t="s">
        <v>60</v>
      </c>
      <c r="E41" s="8">
        <v>24</v>
      </c>
      <c r="F41" s="8"/>
      <c r="G41" s="8"/>
      <c r="H41" s="8">
        <v>43.9</v>
      </c>
      <c r="I41" s="8"/>
      <c r="J41" s="8"/>
      <c r="K41" s="8">
        <f>H41-E41</f>
        <v>19.9</v>
      </c>
      <c r="L41" s="8"/>
      <c r="M41" s="8"/>
    </row>
    <row r="42" s="1" customFormat="1" ht="13.5"/>
    <row r="43" spans="1:13" ht="12.75" customHeight="1">
      <c r="A43" s="68">
        <v>5491030</v>
      </c>
      <c r="B43" s="68"/>
      <c r="C43" s="68"/>
      <c r="D43" s="3"/>
      <c r="E43" s="69" t="s">
        <v>63</v>
      </c>
      <c r="F43" s="69"/>
      <c r="G43" s="69"/>
      <c r="H43" s="69"/>
      <c r="I43" s="69"/>
      <c r="J43" s="69"/>
      <c r="K43" s="69"/>
      <c r="L43" s="69"/>
      <c r="M43" s="69"/>
    </row>
    <row r="44" spans="1:13" s="24" customFormat="1" ht="22.5" customHeight="1">
      <c r="A44" s="70" t="s">
        <v>17</v>
      </c>
      <c r="B44" s="70"/>
      <c r="C44" s="70"/>
      <c r="D44" s="23"/>
      <c r="E44" s="71" t="s">
        <v>18</v>
      </c>
      <c r="F44" s="71"/>
      <c r="G44" s="71"/>
      <c r="H44" s="71"/>
      <c r="I44" s="71"/>
      <c r="J44" s="71"/>
      <c r="K44" s="71"/>
      <c r="L44" s="71"/>
      <c r="M44" s="71"/>
    </row>
    <row r="45" spans="1:13" ht="9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22.5" customHeight="1">
      <c r="A46" s="64" t="s">
        <v>20</v>
      </c>
      <c r="B46" s="64" t="s">
        <v>21</v>
      </c>
      <c r="C46" s="64" t="s">
        <v>22</v>
      </c>
      <c r="D46" s="66" t="s">
        <v>23</v>
      </c>
      <c r="E46" s="64" t="s">
        <v>27</v>
      </c>
      <c r="F46" s="64"/>
      <c r="G46" s="64"/>
      <c r="H46" s="64" t="s">
        <v>28</v>
      </c>
      <c r="I46" s="64"/>
      <c r="J46" s="64"/>
      <c r="K46" s="64" t="s">
        <v>49</v>
      </c>
      <c r="L46" s="64"/>
      <c r="M46" s="64"/>
    </row>
    <row r="47" spans="1:13" ht="27" customHeight="1">
      <c r="A47" s="64"/>
      <c r="B47" s="64"/>
      <c r="C47" s="64"/>
      <c r="D47" s="67"/>
      <c r="E47" s="2" t="s">
        <v>24</v>
      </c>
      <c r="F47" s="2" t="s">
        <v>25</v>
      </c>
      <c r="G47" s="2" t="s">
        <v>26</v>
      </c>
      <c r="H47" s="2" t="s">
        <v>24</v>
      </c>
      <c r="I47" s="2" t="s">
        <v>25</v>
      </c>
      <c r="J47" s="2" t="s">
        <v>26</v>
      </c>
      <c r="K47" s="2" t="s">
        <v>24</v>
      </c>
      <c r="L47" s="2" t="s">
        <v>25</v>
      </c>
      <c r="M47" s="2" t="s">
        <v>26</v>
      </c>
    </row>
    <row r="48" spans="1:13" ht="13.5">
      <c r="A48" s="16">
        <v>1</v>
      </c>
      <c r="B48" s="16" t="s">
        <v>29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s="1" customFormat="1" ht="33.75" customHeight="1">
      <c r="A49" s="13">
        <v>1</v>
      </c>
      <c r="B49" s="25" t="s">
        <v>64</v>
      </c>
      <c r="C49" s="13" t="s">
        <v>65</v>
      </c>
      <c r="D49" s="14" t="s">
        <v>66</v>
      </c>
      <c r="E49" s="15">
        <v>1</v>
      </c>
      <c r="F49" s="15"/>
      <c r="G49" s="15">
        <f aca="true" t="shared" si="0" ref="G49:G56">SUM(E49:F49)</f>
        <v>1</v>
      </c>
      <c r="H49" s="15">
        <v>1</v>
      </c>
      <c r="I49" s="15"/>
      <c r="J49" s="15">
        <f aca="true" t="shared" si="1" ref="J49:J56">SUM(H49:I49)</f>
        <v>1</v>
      </c>
      <c r="K49" s="15"/>
      <c r="L49" s="15"/>
      <c r="M49" s="15"/>
    </row>
    <row r="50" spans="1:13" s="1" customFormat="1" ht="45.75" customHeight="1">
      <c r="A50" s="18">
        <v>2</v>
      </c>
      <c r="B50" s="22" t="s">
        <v>75</v>
      </c>
      <c r="C50" s="18" t="s">
        <v>31</v>
      </c>
      <c r="D50" s="19" t="s">
        <v>76</v>
      </c>
      <c r="E50" s="20">
        <v>95</v>
      </c>
      <c r="F50" s="21"/>
      <c r="G50" s="20">
        <f t="shared" si="0"/>
        <v>95</v>
      </c>
      <c r="H50" s="20">
        <v>80</v>
      </c>
      <c r="I50" s="21"/>
      <c r="J50" s="20">
        <f t="shared" si="1"/>
        <v>80</v>
      </c>
      <c r="K50" s="20">
        <f>H50-E50</f>
        <v>-15</v>
      </c>
      <c r="L50" s="20"/>
      <c r="M50" s="20">
        <f>SUM(K50:L50)</f>
        <v>-15</v>
      </c>
    </row>
    <row r="51" spans="1:13" s="1" customFormat="1" ht="25.5" customHeight="1">
      <c r="A51" s="18">
        <v>3</v>
      </c>
      <c r="B51" s="22" t="s">
        <v>77</v>
      </c>
      <c r="C51" s="18" t="s">
        <v>31</v>
      </c>
      <c r="D51" s="19" t="s">
        <v>76</v>
      </c>
      <c r="E51" s="20">
        <v>4</v>
      </c>
      <c r="F51" s="21"/>
      <c r="G51" s="20">
        <f t="shared" si="0"/>
        <v>4</v>
      </c>
      <c r="H51" s="20">
        <v>4</v>
      </c>
      <c r="I51" s="21"/>
      <c r="J51" s="20">
        <f t="shared" si="1"/>
        <v>4</v>
      </c>
      <c r="K51" s="20"/>
      <c r="L51" s="20"/>
      <c r="M51" s="20"/>
    </row>
    <row r="52" spans="1:13" s="1" customFormat="1" ht="25.5" customHeight="1">
      <c r="A52" s="18">
        <v>4</v>
      </c>
      <c r="B52" s="22" t="s">
        <v>78</v>
      </c>
      <c r="C52" s="18" t="s">
        <v>31</v>
      </c>
      <c r="D52" s="19" t="s">
        <v>76</v>
      </c>
      <c r="E52" s="20">
        <v>24</v>
      </c>
      <c r="F52" s="21"/>
      <c r="G52" s="20">
        <f t="shared" si="0"/>
        <v>24</v>
      </c>
      <c r="H52" s="20">
        <v>23</v>
      </c>
      <c r="I52" s="21"/>
      <c r="J52" s="20">
        <f t="shared" si="1"/>
        <v>23</v>
      </c>
      <c r="K52" s="20">
        <f>H52-E52</f>
        <v>-1</v>
      </c>
      <c r="L52" s="20"/>
      <c r="M52" s="20">
        <f>SUM(K52:L52)</f>
        <v>-1</v>
      </c>
    </row>
    <row r="53" spans="1:13" s="1" customFormat="1" ht="25.5" customHeight="1">
      <c r="A53" s="18">
        <v>5</v>
      </c>
      <c r="B53" s="22" t="s">
        <v>79</v>
      </c>
      <c r="C53" s="18" t="s">
        <v>31</v>
      </c>
      <c r="D53" s="19" t="s">
        <v>76</v>
      </c>
      <c r="E53" s="20">
        <v>123</v>
      </c>
      <c r="F53" s="21"/>
      <c r="G53" s="20">
        <f t="shared" si="0"/>
        <v>123</v>
      </c>
      <c r="H53" s="20">
        <v>107</v>
      </c>
      <c r="I53" s="21"/>
      <c r="J53" s="20">
        <f t="shared" si="1"/>
        <v>107</v>
      </c>
      <c r="K53" s="20">
        <f>H53-E53</f>
        <v>-16</v>
      </c>
      <c r="L53" s="20"/>
      <c r="M53" s="20">
        <f>SUM(K53:L53)</f>
        <v>-16</v>
      </c>
    </row>
    <row r="54" spans="1:13" s="1" customFormat="1" ht="36" customHeight="1">
      <c r="A54" s="18">
        <v>6</v>
      </c>
      <c r="B54" s="22" t="s">
        <v>80</v>
      </c>
      <c r="C54" s="49" t="s">
        <v>81</v>
      </c>
      <c r="D54" s="19" t="s">
        <v>82</v>
      </c>
      <c r="E54" s="21">
        <v>3.6</v>
      </c>
      <c r="F54" s="21"/>
      <c r="G54" s="21">
        <f t="shared" si="0"/>
        <v>3.6</v>
      </c>
      <c r="H54" s="21">
        <v>3.6</v>
      </c>
      <c r="I54" s="21"/>
      <c r="J54" s="21">
        <f t="shared" si="1"/>
        <v>3.6</v>
      </c>
      <c r="K54" s="21"/>
      <c r="L54" s="21"/>
      <c r="M54" s="21"/>
    </row>
    <row r="55" spans="1:13" s="1" customFormat="1" ht="38.25" customHeight="1">
      <c r="A55" s="18">
        <v>7</v>
      </c>
      <c r="B55" s="22" t="s">
        <v>83</v>
      </c>
      <c r="C55" s="49" t="s">
        <v>81</v>
      </c>
      <c r="D55" s="19" t="s">
        <v>84</v>
      </c>
      <c r="E55" s="20"/>
      <c r="F55" s="21">
        <v>6</v>
      </c>
      <c r="G55" s="21">
        <f t="shared" si="0"/>
        <v>6</v>
      </c>
      <c r="H55" s="20"/>
      <c r="I55" s="21">
        <v>6</v>
      </c>
      <c r="J55" s="21">
        <f t="shared" si="1"/>
        <v>6</v>
      </c>
      <c r="K55" s="20"/>
      <c r="L55" s="20"/>
      <c r="M55" s="20"/>
    </row>
    <row r="56" spans="1:13" s="1" customFormat="1" ht="33.75" customHeight="1">
      <c r="A56" s="9">
        <v>8</v>
      </c>
      <c r="B56" s="10" t="s">
        <v>85</v>
      </c>
      <c r="C56" s="56" t="s">
        <v>81</v>
      </c>
      <c r="D56" s="11" t="s">
        <v>84</v>
      </c>
      <c r="E56" s="8">
        <v>4.2</v>
      </c>
      <c r="F56" s="8"/>
      <c r="G56" s="8">
        <f t="shared" si="0"/>
        <v>4.2</v>
      </c>
      <c r="H56" s="8">
        <v>4.2</v>
      </c>
      <c r="I56" s="8"/>
      <c r="J56" s="8">
        <f t="shared" si="1"/>
        <v>4.2</v>
      </c>
      <c r="K56" s="8"/>
      <c r="L56" s="8"/>
      <c r="M56" s="8"/>
    </row>
    <row r="57" spans="1:13" s="1" customFormat="1" ht="13.5">
      <c r="A57" s="16">
        <v>2</v>
      </c>
      <c r="B57" s="16" t="s">
        <v>35</v>
      </c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6"/>
    </row>
    <row r="58" spans="1:13" s="1" customFormat="1" ht="25.5" customHeight="1">
      <c r="A58" s="18">
        <v>1</v>
      </c>
      <c r="B58" s="22" t="s">
        <v>86</v>
      </c>
      <c r="C58" s="18" t="s">
        <v>37</v>
      </c>
      <c r="D58" s="19" t="s">
        <v>87</v>
      </c>
      <c r="E58" s="20">
        <v>30</v>
      </c>
      <c r="F58" s="20"/>
      <c r="G58" s="20">
        <f>SUM(E58:F58)</f>
        <v>30</v>
      </c>
      <c r="H58" s="20">
        <v>30</v>
      </c>
      <c r="I58" s="20"/>
      <c r="J58" s="20">
        <f>SUM(H58:I58)</f>
        <v>30</v>
      </c>
      <c r="K58" s="20"/>
      <c r="L58" s="20"/>
      <c r="M58" s="20"/>
    </row>
    <row r="59" spans="1:13" s="1" customFormat="1" ht="25.5" customHeight="1">
      <c r="A59" s="18">
        <v>2</v>
      </c>
      <c r="B59" s="22" t="s">
        <v>88</v>
      </c>
      <c r="C59" s="18" t="s">
        <v>37</v>
      </c>
      <c r="D59" s="19" t="s">
        <v>87</v>
      </c>
      <c r="E59" s="20">
        <v>6</v>
      </c>
      <c r="F59" s="21"/>
      <c r="G59" s="20">
        <f>SUM(E59:F59)</f>
        <v>6</v>
      </c>
      <c r="H59" s="20">
        <v>6</v>
      </c>
      <c r="I59" s="21"/>
      <c r="J59" s="20">
        <f>SUM(H59:I59)</f>
        <v>6</v>
      </c>
      <c r="K59" s="20"/>
      <c r="L59" s="20"/>
      <c r="M59" s="20"/>
    </row>
    <row r="60" spans="1:13" s="1" customFormat="1" ht="33.75" customHeight="1">
      <c r="A60" s="50">
        <v>3</v>
      </c>
      <c r="B60" s="51" t="s">
        <v>89</v>
      </c>
      <c r="C60" s="18" t="s">
        <v>37</v>
      </c>
      <c r="D60" s="52" t="s">
        <v>90</v>
      </c>
      <c r="E60" s="53">
        <v>6</v>
      </c>
      <c r="F60" s="53">
        <v>20</v>
      </c>
      <c r="G60" s="20">
        <f>SUM(E60:F60)</f>
        <v>26</v>
      </c>
      <c r="H60" s="53">
        <v>6</v>
      </c>
      <c r="I60" s="53">
        <v>32</v>
      </c>
      <c r="J60" s="20">
        <f>SUM(H60:I60)</f>
        <v>38</v>
      </c>
      <c r="K60" s="20"/>
      <c r="L60" s="20">
        <f>I60-F60</f>
        <v>12</v>
      </c>
      <c r="M60" s="20">
        <f>J60-G60</f>
        <v>12</v>
      </c>
    </row>
    <row r="61" spans="1:13" s="1" customFormat="1" ht="33.75" customHeight="1">
      <c r="A61" s="50">
        <v>4</v>
      </c>
      <c r="B61" s="51" t="s">
        <v>91</v>
      </c>
      <c r="C61" s="18" t="s">
        <v>37</v>
      </c>
      <c r="D61" s="52" t="s">
        <v>90</v>
      </c>
      <c r="E61" s="53">
        <v>6</v>
      </c>
      <c r="F61" s="53">
        <v>25</v>
      </c>
      <c r="G61" s="20">
        <f>SUM(E61:F61)</f>
        <v>31</v>
      </c>
      <c r="H61" s="53">
        <v>6</v>
      </c>
      <c r="I61" s="53">
        <v>38</v>
      </c>
      <c r="J61" s="20">
        <f>SUM(H61:I61)</f>
        <v>44</v>
      </c>
      <c r="K61" s="53"/>
      <c r="L61" s="20">
        <f>I61-F61</f>
        <v>13</v>
      </c>
      <c r="M61" s="20">
        <f>J61-G61</f>
        <v>13</v>
      </c>
    </row>
    <row r="62" spans="1:13" s="1" customFormat="1" ht="33.75" customHeight="1">
      <c r="A62" s="50">
        <v>5</v>
      </c>
      <c r="B62" s="51" t="s">
        <v>92</v>
      </c>
      <c r="C62" s="18" t="s">
        <v>37</v>
      </c>
      <c r="D62" s="19" t="s">
        <v>84</v>
      </c>
      <c r="E62" s="53"/>
      <c r="F62" s="53">
        <v>1</v>
      </c>
      <c r="G62" s="53">
        <v>1</v>
      </c>
      <c r="H62" s="53"/>
      <c r="I62" s="53">
        <v>1</v>
      </c>
      <c r="J62" s="53">
        <v>1</v>
      </c>
      <c r="K62" s="53"/>
      <c r="L62" s="53"/>
      <c r="M62" s="53"/>
    </row>
    <row r="63" spans="1:13" s="1" customFormat="1" ht="33.75" customHeight="1">
      <c r="A63" s="9">
        <v>6</v>
      </c>
      <c r="B63" s="10" t="s">
        <v>93</v>
      </c>
      <c r="C63" s="9" t="s">
        <v>37</v>
      </c>
      <c r="D63" s="19" t="s">
        <v>84</v>
      </c>
      <c r="E63" s="12">
        <v>1</v>
      </c>
      <c r="F63" s="8"/>
      <c r="G63" s="12">
        <f>SUM(E63:F63)</f>
        <v>1</v>
      </c>
      <c r="H63" s="12">
        <v>1</v>
      </c>
      <c r="I63" s="8"/>
      <c r="J63" s="12">
        <f>SUM(H63:I63)</f>
        <v>1</v>
      </c>
      <c r="K63" s="12"/>
      <c r="L63" s="12"/>
      <c r="M63" s="12"/>
    </row>
    <row r="64" spans="1:13" s="1" customFormat="1" ht="13.5">
      <c r="A64" s="16">
        <v>3</v>
      </c>
      <c r="B64" s="16" t="s">
        <v>41</v>
      </c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6"/>
    </row>
    <row r="65" spans="1:13" s="1" customFormat="1" ht="27.75" customHeight="1">
      <c r="A65" s="18">
        <v>1</v>
      </c>
      <c r="B65" s="22" t="s">
        <v>94</v>
      </c>
      <c r="C65" s="49" t="s">
        <v>81</v>
      </c>
      <c r="D65" s="19" t="s">
        <v>82</v>
      </c>
      <c r="E65" s="21">
        <v>551.5</v>
      </c>
      <c r="F65" s="21">
        <v>85.1</v>
      </c>
      <c r="G65" s="21"/>
      <c r="H65" s="21">
        <v>549.9</v>
      </c>
      <c r="I65" s="21">
        <v>71.1</v>
      </c>
      <c r="J65" s="21"/>
      <c r="K65" s="21">
        <f>H65-E65</f>
        <v>-1.6000000000000227</v>
      </c>
      <c r="L65" s="21">
        <f>I65-F65</f>
        <v>-14</v>
      </c>
      <c r="M65" s="21"/>
    </row>
    <row r="66" spans="1:13" s="1" customFormat="1" ht="46.5" customHeight="1">
      <c r="A66" s="18">
        <v>2</v>
      </c>
      <c r="B66" s="22" t="s">
        <v>95</v>
      </c>
      <c r="C66" s="49" t="s">
        <v>81</v>
      </c>
      <c r="D66" s="19" t="s">
        <v>82</v>
      </c>
      <c r="E66" s="21">
        <v>0.6</v>
      </c>
      <c r="F66" s="21"/>
      <c r="G66" s="21"/>
      <c r="H66" s="21">
        <v>0.6</v>
      </c>
      <c r="I66" s="21"/>
      <c r="J66" s="21"/>
      <c r="K66" s="21"/>
      <c r="L66" s="21"/>
      <c r="M66" s="21"/>
    </row>
    <row r="67" spans="1:13" s="1" customFormat="1" ht="36" customHeight="1">
      <c r="A67" s="18">
        <v>3</v>
      </c>
      <c r="B67" s="22" t="s">
        <v>96</v>
      </c>
      <c r="C67" s="18" t="s">
        <v>59</v>
      </c>
      <c r="D67" s="19" t="s">
        <v>84</v>
      </c>
      <c r="E67" s="20"/>
      <c r="F67" s="20">
        <v>6048</v>
      </c>
      <c r="G67" s="20"/>
      <c r="H67" s="20"/>
      <c r="I67" s="20">
        <v>6048</v>
      </c>
      <c r="J67" s="21"/>
      <c r="K67" s="21"/>
      <c r="L67" s="21"/>
      <c r="M67" s="21"/>
    </row>
    <row r="68" spans="1:13" s="1" customFormat="1" ht="36" customHeight="1">
      <c r="A68" s="18">
        <v>4</v>
      </c>
      <c r="B68" s="22" t="s">
        <v>97</v>
      </c>
      <c r="C68" s="18" t="s">
        <v>59</v>
      </c>
      <c r="D68" s="19" t="s">
        <v>84</v>
      </c>
      <c r="E68" s="20">
        <v>4152</v>
      </c>
      <c r="F68" s="20"/>
      <c r="G68" s="20"/>
      <c r="H68" s="20">
        <v>4152</v>
      </c>
      <c r="I68" s="20"/>
      <c r="J68" s="21"/>
      <c r="K68" s="21"/>
      <c r="L68" s="21"/>
      <c r="M68" s="21"/>
    </row>
    <row r="69" spans="1:13" s="1" customFormat="1" ht="13.5">
      <c r="A69" s="16">
        <v>4</v>
      </c>
      <c r="B69" s="16" t="s">
        <v>44</v>
      </c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6"/>
    </row>
    <row r="70" spans="1:13" s="1" customFormat="1" ht="33.75" customHeight="1">
      <c r="A70" s="18">
        <v>1</v>
      </c>
      <c r="B70" s="22" t="s">
        <v>98</v>
      </c>
      <c r="C70" s="18" t="s">
        <v>46</v>
      </c>
      <c r="D70" s="19" t="s">
        <v>99</v>
      </c>
      <c r="E70" s="21">
        <v>100</v>
      </c>
      <c r="F70" s="21">
        <v>80</v>
      </c>
      <c r="G70" s="21"/>
      <c r="H70" s="21">
        <v>100</v>
      </c>
      <c r="I70" s="21">
        <v>84.2</v>
      </c>
      <c r="J70" s="21"/>
      <c r="K70" s="21"/>
      <c r="L70" s="21">
        <f>I70-F70</f>
        <v>4.200000000000003</v>
      </c>
      <c r="M70" s="21"/>
    </row>
    <row r="71" spans="1:13" s="1" customFormat="1" ht="48" customHeight="1">
      <c r="A71" s="18">
        <v>2</v>
      </c>
      <c r="B71" s="22" t="s">
        <v>100</v>
      </c>
      <c r="C71" s="18" t="s">
        <v>46</v>
      </c>
      <c r="D71" s="19" t="s">
        <v>99</v>
      </c>
      <c r="E71" s="21"/>
      <c r="F71" s="21">
        <v>20</v>
      </c>
      <c r="G71" s="21"/>
      <c r="H71" s="21"/>
      <c r="I71" s="21">
        <v>15.8</v>
      </c>
      <c r="J71" s="21"/>
      <c r="K71" s="21"/>
      <c r="L71" s="21">
        <f>I71-F71</f>
        <v>-4.199999999999999</v>
      </c>
      <c r="M71" s="21"/>
    </row>
    <row r="72" spans="1:13" s="1" customFormat="1" ht="71.25" customHeight="1">
      <c r="A72" s="9">
        <v>3</v>
      </c>
      <c r="B72" s="10" t="s">
        <v>101</v>
      </c>
      <c r="C72" s="9" t="s">
        <v>46</v>
      </c>
      <c r="D72" s="11" t="s">
        <v>99</v>
      </c>
      <c r="E72" s="8"/>
      <c r="F72" s="8">
        <v>80</v>
      </c>
      <c r="G72" s="8"/>
      <c r="H72" s="8"/>
      <c r="I72" s="8">
        <v>84.2</v>
      </c>
      <c r="J72" s="8"/>
      <c r="K72" s="8"/>
      <c r="L72" s="8">
        <f>I72-F72</f>
        <v>4.200000000000003</v>
      </c>
      <c r="M72" s="8"/>
    </row>
    <row r="73" s="1" customFormat="1" ht="13.5"/>
    <row r="74" spans="1:13" ht="52.5" customHeight="1">
      <c r="A74" s="68">
        <v>5491040</v>
      </c>
      <c r="B74" s="68"/>
      <c r="C74" s="68"/>
      <c r="D74" s="3"/>
      <c r="E74" s="69" t="s">
        <v>72</v>
      </c>
      <c r="F74" s="69"/>
      <c r="G74" s="69"/>
      <c r="H74" s="69"/>
      <c r="I74" s="69"/>
      <c r="J74" s="69"/>
      <c r="K74" s="69"/>
      <c r="L74" s="69"/>
      <c r="M74" s="69"/>
    </row>
    <row r="75" spans="1:13" s="24" customFormat="1" ht="22.5" customHeight="1">
      <c r="A75" s="70" t="s">
        <v>17</v>
      </c>
      <c r="B75" s="70"/>
      <c r="C75" s="70"/>
      <c r="D75" s="23"/>
      <c r="E75" s="71" t="s">
        <v>18</v>
      </c>
      <c r="F75" s="71"/>
      <c r="G75" s="71"/>
      <c r="H75" s="71"/>
      <c r="I75" s="71"/>
      <c r="J75" s="71"/>
      <c r="K75" s="71"/>
      <c r="L75" s="71"/>
      <c r="M75" s="71"/>
    </row>
    <row r="76" spans="1:13" ht="9.75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22.5" customHeight="1">
      <c r="A77" s="64" t="s">
        <v>20</v>
      </c>
      <c r="B77" s="64" t="s">
        <v>21</v>
      </c>
      <c r="C77" s="64" t="s">
        <v>22</v>
      </c>
      <c r="D77" s="66" t="s">
        <v>23</v>
      </c>
      <c r="E77" s="64" t="s">
        <v>27</v>
      </c>
      <c r="F77" s="64"/>
      <c r="G77" s="64"/>
      <c r="H77" s="64" t="s">
        <v>28</v>
      </c>
      <c r="I77" s="64"/>
      <c r="J77" s="64"/>
      <c r="K77" s="64" t="s">
        <v>49</v>
      </c>
      <c r="L77" s="64"/>
      <c r="M77" s="64"/>
    </row>
    <row r="78" spans="1:13" ht="27" customHeight="1">
      <c r="A78" s="64"/>
      <c r="B78" s="64"/>
      <c r="C78" s="64"/>
      <c r="D78" s="67"/>
      <c r="E78" s="2" t="s">
        <v>24</v>
      </c>
      <c r="F78" s="2" t="s">
        <v>25</v>
      </c>
      <c r="G78" s="2" t="s">
        <v>26</v>
      </c>
      <c r="H78" s="2" t="s">
        <v>24</v>
      </c>
      <c r="I78" s="2" t="s">
        <v>25</v>
      </c>
      <c r="J78" s="2" t="s">
        <v>26</v>
      </c>
      <c r="K78" s="2" t="s">
        <v>24</v>
      </c>
      <c r="L78" s="2" t="s">
        <v>25</v>
      </c>
      <c r="M78" s="2" t="s">
        <v>26</v>
      </c>
    </row>
    <row r="79" spans="1:13" ht="13.5">
      <c r="A79" s="16">
        <v>1</v>
      </c>
      <c r="B79" s="16" t="s">
        <v>29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s="1" customFormat="1" ht="44.25" customHeight="1">
      <c r="A80" s="13">
        <v>1</v>
      </c>
      <c r="B80" s="26" t="s">
        <v>103</v>
      </c>
      <c r="C80" s="54" t="s">
        <v>81</v>
      </c>
      <c r="D80" s="14" t="s">
        <v>102</v>
      </c>
      <c r="E80" s="15"/>
      <c r="F80" s="15">
        <v>70000</v>
      </c>
      <c r="G80" s="15">
        <f>SUM(E80:F80)</f>
        <v>70000</v>
      </c>
      <c r="H80" s="15"/>
      <c r="I80" s="15">
        <v>70000</v>
      </c>
      <c r="J80" s="15">
        <f>SUM(H80:I80)</f>
        <v>70000</v>
      </c>
      <c r="K80" s="15"/>
      <c r="L80" s="15"/>
      <c r="M80" s="15"/>
    </row>
    <row r="81" spans="1:13" s="1" customFormat="1" ht="13.5">
      <c r="A81" s="16">
        <v>2</v>
      </c>
      <c r="B81" s="16" t="s">
        <v>35</v>
      </c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6"/>
    </row>
    <row r="82" spans="1:13" s="1" customFormat="1" ht="93.75" customHeight="1">
      <c r="A82" s="18">
        <v>1</v>
      </c>
      <c r="B82" s="22" t="s">
        <v>105</v>
      </c>
      <c r="C82" s="9" t="s">
        <v>37</v>
      </c>
      <c r="D82" s="14" t="s">
        <v>104</v>
      </c>
      <c r="E82" s="20"/>
      <c r="F82" s="20">
        <v>3</v>
      </c>
      <c r="G82" s="20">
        <f>SUM(E82:F82)</f>
        <v>3</v>
      </c>
      <c r="H82" s="20"/>
      <c r="I82" s="20"/>
      <c r="J82" s="20"/>
      <c r="K82" s="20"/>
      <c r="L82" s="20">
        <v>-3</v>
      </c>
      <c r="M82" s="20">
        <f>SUM(K82:L82)</f>
        <v>-3</v>
      </c>
    </row>
    <row r="83" spans="1:13" s="1" customFormat="1" ht="13.5">
      <c r="A83" s="16">
        <v>3</v>
      </c>
      <c r="B83" s="16" t="s">
        <v>41</v>
      </c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6"/>
    </row>
    <row r="84" spans="1:13" s="1" customFormat="1" ht="27" customHeight="1">
      <c r="A84" s="9">
        <v>1</v>
      </c>
      <c r="B84" s="10" t="s">
        <v>106</v>
      </c>
      <c r="C84" s="9" t="s">
        <v>46</v>
      </c>
      <c r="D84" s="11" t="s">
        <v>107</v>
      </c>
      <c r="E84" s="8"/>
      <c r="F84" s="8">
        <v>2</v>
      </c>
      <c r="G84" s="8"/>
      <c r="H84" s="8"/>
      <c r="I84" s="8"/>
      <c r="J84" s="8"/>
      <c r="K84" s="8"/>
      <c r="L84" s="8">
        <v>-2</v>
      </c>
      <c r="M84" s="8"/>
    </row>
    <row r="85" s="1" customFormat="1" ht="13.5"/>
    <row r="86" spans="1:13" s="1" customFormat="1" ht="13.5">
      <c r="A86" s="1" t="s">
        <v>73</v>
      </c>
      <c r="L86" s="57" t="s">
        <v>74</v>
      </c>
      <c r="M86" s="57"/>
    </row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</sheetData>
  <sheetProtection/>
  <mergeCells count="50">
    <mergeCell ref="C10:C11"/>
    <mergeCell ref="A8:C8"/>
    <mergeCell ref="A4:M4"/>
    <mergeCell ref="A5:M5"/>
    <mergeCell ref="A1:M1"/>
    <mergeCell ref="A2:M2"/>
    <mergeCell ref="A3:M3"/>
    <mergeCell ref="E10:G10"/>
    <mergeCell ref="H10:J10"/>
    <mergeCell ref="K10:M10"/>
    <mergeCell ref="A27:C27"/>
    <mergeCell ref="E27:M27"/>
    <mergeCell ref="A28:C28"/>
    <mergeCell ref="E28:M28"/>
    <mergeCell ref="E7:M7"/>
    <mergeCell ref="E8:M8"/>
    <mergeCell ref="D10:D11"/>
    <mergeCell ref="A7:C7"/>
    <mergeCell ref="A10:A11"/>
    <mergeCell ref="B10:B11"/>
    <mergeCell ref="A43:C43"/>
    <mergeCell ref="E43:M43"/>
    <mergeCell ref="A30:A31"/>
    <mergeCell ref="B30:B31"/>
    <mergeCell ref="C30:C31"/>
    <mergeCell ref="D30:D31"/>
    <mergeCell ref="E46:G46"/>
    <mergeCell ref="H46:J46"/>
    <mergeCell ref="K46:M46"/>
    <mergeCell ref="E30:G30"/>
    <mergeCell ref="H30:J30"/>
    <mergeCell ref="K30:M30"/>
    <mergeCell ref="A74:C74"/>
    <mergeCell ref="E74:M74"/>
    <mergeCell ref="A75:C75"/>
    <mergeCell ref="E75:M75"/>
    <mergeCell ref="A44:C44"/>
    <mergeCell ref="E44:M44"/>
    <mergeCell ref="A46:A47"/>
    <mergeCell ref="B46:B47"/>
    <mergeCell ref="C46:C47"/>
    <mergeCell ref="D46:D47"/>
    <mergeCell ref="E77:G77"/>
    <mergeCell ref="H77:J77"/>
    <mergeCell ref="K77:M77"/>
    <mergeCell ref="L86:M86"/>
    <mergeCell ref="A77:A78"/>
    <mergeCell ref="B77:B78"/>
    <mergeCell ref="C77:C78"/>
    <mergeCell ref="D77:D78"/>
  </mergeCells>
  <printOptions/>
  <pageMargins left="0.35433070866141736" right="0.2362204724409449" top="0.27" bottom="0.24" header="0.19" footer="0.24"/>
  <pageSetup fitToHeight="0" horizontalDpi="600" verticalDpi="600" orientation="landscape" paperSize="9" r:id="rId1"/>
  <rowBreaks count="1" manualBreakCount="1">
    <brk id="36" max="255" man="1"/>
  </rowBreaks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zoomScalePageLayoutView="0" workbookViewId="0" topLeftCell="A1">
      <selection activeCell="FC9" sqref="FC9"/>
    </sheetView>
  </sheetViews>
  <sheetFormatPr defaultColWidth="9.00390625" defaultRowHeight="12.75"/>
  <sheetData>
    <row r="1" spans="1:256" ht="12.75">
      <c r="A1" t="e">
        <f>IF(Лист1!1:1,"AAAAAHulnwA=",0)</f>
        <v>#VALUE!</v>
      </c>
      <c r="B1" t="e">
        <f>AND(Лист1!A1,"AAAAAHulnwE=")</f>
        <v>#VALUE!</v>
      </c>
      <c r="C1" t="e">
        <f>AND(Лист1!B1,"AAAAAHulnwI=")</f>
        <v>#VALUE!</v>
      </c>
      <c r="D1" t="e">
        <f>AND(Лист1!C1,"AAAAAHulnwM=")</f>
        <v>#VALUE!</v>
      </c>
      <c r="E1" t="e">
        <f>AND(Лист1!D1,"AAAAAHulnwQ=")</f>
        <v>#VALUE!</v>
      </c>
      <c r="F1" t="e">
        <f>AND(Лист1!E1,"AAAAAHulnwU=")</f>
        <v>#VALUE!</v>
      </c>
      <c r="G1" t="e">
        <f>AND(Лист1!F1,"AAAAAHulnwY=")</f>
        <v>#VALUE!</v>
      </c>
      <c r="H1" t="e">
        <f>AND(Лист1!G1,"AAAAAHulnwc=")</f>
        <v>#VALUE!</v>
      </c>
      <c r="I1" t="e">
        <f>AND(Лист1!H1,"AAAAAHulnwg=")</f>
        <v>#VALUE!</v>
      </c>
      <c r="J1" t="e">
        <f>AND(Лист1!I1,"AAAAAHulnwk=")</f>
        <v>#VALUE!</v>
      </c>
      <c r="K1">
        <f>IF(Лист1!2:2,"AAAAAHulnwo=",0)</f>
        <v>0</v>
      </c>
      <c r="L1" t="e">
        <f>AND(Лист1!A2,"AAAAAHulnws=")</f>
        <v>#VALUE!</v>
      </c>
      <c r="M1" t="e">
        <f>AND(Лист1!B2,"AAAAAHulnww=")</f>
        <v>#VALUE!</v>
      </c>
      <c r="N1" t="e">
        <f>AND(Лист1!C2,"AAAAAHulnw0=")</f>
        <v>#VALUE!</v>
      </c>
      <c r="O1" t="e">
        <f>AND(Лист1!D2,"AAAAAHulnw4=")</f>
        <v>#VALUE!</v>
      </c>
      <c r="P1" t="e">
        <f>AND(Лист1!E2,"AAAAAHulnw8=")</f>
        <v>#VALUE!</v>
      </c>
      <c r="Q1" t="e">
        <f>AND(Лист1!F2,"AAAAAHulnxA=")</f>
        <v>#VALUE!</v>
      </c>
      <c r="R1" t="e">
        <f>AND(Лист1!G2,"AAAAAHulnxE=")</f>
        <v>#VALUE!</v>
      </c>
      <c r="S1" t="e">
        <f>AND(Лист1!H2,"AAAAAHulnxI=")</f>
        <v>#VALUE!</v>
      </c>
      <c r="T1" t="e">
        <f>AND(Лист1!I2,"AAAAAHulnxM=")</f>
        <v>#VALUE!</v>
      </c>
      <c r="U1">
        <f>IF(Лист1!3:3,"AAAAAHulnxQ=",0)</f>
        <v>0</v>
      </c>
      <c r="V1" t="e">
        <f>AND(Лист1!A3,"AAAAAHulnxU=")</f>
        <v>#VALUE!</v>
      </c>
      <c r="W1" t="e">
        <f>AND(Лист1!B3,"AAAAAHulnxY=")</f>
        <v>#VALUE!</v>
      </c>
      <c r="X1" t="e">
        <f>AND(Лист1!C3,"AAAAAHulnxc=")</f>
        <v>#VALUE!</v>
      </c>
      <c r="Y1" t="e">
        <f>AND(Лист1!D3,"AAAAAHulnxg=")</f>
        <v>#VALUE!</v>
      </c>
      <c r="Z1" t="e">
        <f>AND(Лист1!E3,"AAAAAHulnxk=")</f>
        <v>#VALUE!</v>
      </c>
      <c r="AA1" t="e">
        <f>AND(Лист1!F3,"AAAAAHulnxo=")</f>
        <v>#VALUE!</v>
      </c>
      <c r="AB1" t="e">
        <f>AND(Лист1!G3,"AAAAAHulnxs=")</f>
        <v>#VALUE!</v>
      </c>
      <c r="AC1" t="e">
        <f>AND(Лист1!H3,"AAAAAHulnxw=")</f>
        <v>#VALUE!</v>
      </c>
      <c r="AD1" t="e">
        <f>AND(Лист1!I3,"AAAAAHulnx0=")</f>
        <v>#VALUE!</v>
      </c>
      <c r="AE1">
        <f>IF(Лист1!4:4,"AAAAAHulnx4=",0)</f>
        <v>0</v>
      </c>
      <c r="AF1" t="e">
        <f>AND(Лист1!A4,"AAAAAHulnx8=")</f>
        <v>#VALUE!</v>
      </c>
      <c r="AG1" t="e">
        <f>AND(Лист1!B4,"AAAAAHulnyA=")</f>
        <v>#VALUE!</v>
      </c>
      <c r="AH1" t="e">
        <f>AND(Лист1!C4,"AAAAAHulnyE=")</f>
        <v>#VALUE!</v>
      </c>
      <c r="AI1" t="e">
        <f>AND(Лист1!D4,"AAAAAHulnyI=")</f>
        <v>#VALUE!</v>
      </c>
      <c r="AJ1" t="e">
        <f>AND(Лист1!E4,"AAAAAHulnyM=")</f>
        <v>#VALUE!</v>
      </c>
      <c r="AK1" t="e">
        <f>AND(Лист1!F4,"AAAAAHulnyQ=")</f>
        <v>#VALUE!</v>
      </c>
      <c r="AL1" t="e">
        <f>AND(Лист1!G4,"AAAAAHulnyU=")</f>
        <v>#VALUE!</v>
      </c>
      <c r="AM1" t="e">
        <f>AND(Лист1!H4,"AAAAAHulnyY=")</f>
        <v>#VALUE!</v>
      </c>
      <c r="AN1" t="e">
        <f>AND(Лист1!I4,"AAAAAHulnyc=")</f>
        <v>#VALUE!</v>
      </c>
      <c r="AO1">
        <f>IF(Лист1!5:5,"AAAAAHulnyg=",0)</f>
        <v>0</v>
      </c>
      <c r="AP1" t="e">
        <f>AND(Лист1!A5,"AAAAAHulnyk=")</f>
        <v>#VALUE!</v>
      </c>
      <c r="AQ1" t="e">
        <f>AND(Лист1!B5,"AAAAAHulnyo=")</f>
        <v>#VALUE!</v>
      </c>
      <c r="AR1" t="e">
        <f>AND(Лист1!C5,"AAAAAHulnys=")</f>
        <v>#VALUE!</v>
      </c>
      <c r="AS1" t="e">
        <f>AND(Лист1!D5,"AAAAAHulnyw=")</f>
        <v>#VALUE!</v>
      </c>
      <c r="AT1" t="e">
        <f>AND(Лист1!E5,"AAAAAHulny0=")</f>
        <v>#VALUE!</v>
      </c>
      <c r="AU1" t="e">
        <f>AND(Лист1!F5,"AAAAAHulny4=")</f>
        <v>#VALUE!</v>
      </c>
      <c r="AV1" t="e">
        <f>AND(Лист1!G5,"AAAAAHulny8=")</f>
        <v>#VALUE!</v>
      </c>
      <c r="AW1" t="e">
        <f>AND(Лист1!H5,"AAAAAHulnzA=")</f>
        <v>#VALUE!</v>
      </c>
      <c r="AX1" t="e">
        <f>AND(Лист1!I5,"AAAAAHulnzE=")</f>
        <v>#VALUE!</v>
      </c>
      <c r="AY1">
        <f>IF(Лист1!6:6,"AAAAAHulnzI=",0)</f>
        <v>0</v>
      </c>
      <c r="AZ1" t="e">
        <f>AND(Лист1!A6,"AAAAAHulnzM=")</f>
        <v>#VALUE!</v>
      </c>
      <c r="BA1" t="e">
        <f>AND(Лист1!B6,"AAAAAHulnzQ=")</f>
        <v>#VALUE!</v>
      </c>
      <c r="BB1" t="e">
        <f>AND(Лист1!C6,"AAAAAHulnzU=")</f>
        <v>#VALUE!</v>
      </c>
      <c r="BC1" t="e">
        <f>AND(Лист1!D6,"AAAAAHulnzY=")</f>
        <v>#VALUE!</v>
      </c>
      <c r="BD1" t="e">
        <f>AND(Лист1!E6,"AAAAAHulnzc=")</f>
        <v>#VALUE!</v>
      </c>
      <c r="BE1" t="e">
        <f>AND(Лист1!F6,"AAAAAHulnzg=")</f>
        <v>#VALUE!</v>
      </c>
      <c r="BF1" t="e">
        <f>AND(Лист1!G6,"AAAAAHulnzk=")</f>
        <v>#VALUE!</v>
      </c>
      <c r="BG1" t="e">
        <f>AND(Лист1!H6,"AAAAAHulnzo=")</f>
        <v>#VALUE!</v>
      </c>
      <c r="BH1" t="e">
        <f>AND(Лист1!I6,"AAAAAHulnzs=")</f>
        <v>#VALUE!</v>
      </c>
      <c r="BI1">
        <f>IF(Лист1!7:7,"AAAAAHulnzw=",0)</f>
        <v>0</v>
      </c>
      <c r="BJ1" t="e">
        <f>AND(Лист1!A7,"AAAAAHulnz0=")</f>
        <v>#VALUE!</v>
      </c>
      <c r="BK1" t="e">
        <f>AND(Лист1!B7,"AAAAAHulnz4=")</f>
        <v>#VALUE!</v>
      </c>
      <c r="BL1" t="e">
        <f>AND(Лист1!C7,"AAAAAHulnz8=")</f>
        <v>#VALUE!</v>
      </c>
      <c r="BM1" t="e">
        <f>AND(Лист1!D7,"AAAAAHuln0A=")</f>
        <v>#VALUE!</v>
      </c>
      <c r="BN1" t="e">
        <f>AND(Лист1!E7,"AAAAAHuln0E=")</f>
        <v>#VALUE!</v>
      </c>
      <c r="BO1" t="e">
        <f>AND(Лист1!F7,"AAAAAHuln0I=")</f>
        <v>#VALUE!</v>
      </c>
      <c r="BP1" t="e">
        <f>AND(Лист1!G7,"AAAAAHuln0M=")</f>
        <v>#VALUE!</v>
      </c>
      <c r="BQ1" t="e">
        <f>AND(Лист1!H7,"AAAAAHuln0Q=")</f>
        <v>#VALUE!</v>
      </c>
      <c r="BR1" t="e">
        <f>AND(Лист1!I7,"AAAAAHuln0U=")</f>
        <v>#VALUE!</v>
      </c>
      <c r="BS1">
        <f>IF(Лист1!8:8,"AAAAAHuln0Y=",0)</f>
        <v>0</v>
      </c>
      <c r="BT1" t="e">
        <f>AND(Лист1!A8,"AAAAAHuln0c=")</f>
        <v>#VALUE!</v>
      </c>
      <c r="BU1" t="e">
        <f>AND(Лист1!B8,"AAAAAHuln0g=")</f>
        <v>#VALUE!</v>
      </c>
      <c r="BV1" t="e">
        <f>AND(Лист1!C8,"AAAAAHuln0k=")</f>
        <v>#VALUE!</v>
      </c>
      <c r="BW1" t="e">
        <f>AND(Лист1!D8,"AAAAAHuln0o=")</f>
        <v>#VALUE!</v>
      </c>
      <c r="BX1" t="e">
        <f>AND(Лист1!E8,"AAAAAHuln0s=")</f>
        <v>#VALUE!</v>
      </c>
      <c r="BY1" t="e">
        <f>AND(Лист1!F8,"AAAAAHuln0w=")</f>
        <v>#VALUE!</v>
      </c>
      <c r="BZ1" t="e">
        <f>AND(Лист1!G8,"AAAAAHuln00=")</f>
        <v>#VALUE!</v>
      </c>
      <c r="CA1" t="e">
        <f>AND(Лист1!H8,"AAAAAHuln04=")</f>
        <v>#VALUE!</v>
      </c>
      <c r="CB1" t="e">
        <f>AND(Лист1!I8,"AAAAAHuln08=")</f>
        <v>#VALUE!</v>
      </c>
      <c r="CC1">
        <f>IF(Лист1!9:9,"AAAAAHuln1A=",0)</f>
        <v>0</v>
      </c>
      <c r="CD1" t="e">
        <f>AND(Лист1!A9,"AAAAAHuln1E=")</f>
        <v>#VALUE!</v>
      </c>
      <c r="CE1" t="e">
        <f>AND(Лист1!B9,"AAAAAHuln1I=")</f>
        <v>#VALUE!</v>
      </c>
      <c r="CF1" t="e">
        <f>AND(Лист1!C9,"AAAAAHuln1M=")</f>
        <v>#VALUE!</v>
      </c>
      <c r="CG1" t="e">
        <f>AND(Лист1!D9,"AAAAAHuln1Q=")</f>
        <v>#VALUE!</v>
      </c>
      <c r="CH1" t="e">
        <f>AND(Лист1!E9,"AAAAAHuln1U=")</f>
        <v>#VALUE!</v>
      </c>
      <c r="CI1" t="e">
        <f>AND(Лист1!F9,"AAAAAHuln1Y=")</f>
        <v>#VALUE!</v>
      </c>
      <c r="CJ1" t="e">
        <f>AND(Лист1!G9,"AAAAAHuln1c=")</f>
        <v>#VALUE!</v>
      </c>
      <c r="CK1" t="e">
        <f>AND(Лист1!H9,"AAAAAHuln1g=")</f>
        <v>#VALUE!</v>
      </c>
      <c r="CL1" t="e">
        <f>AND(Лист1!I9,"AAAAAHuln1k=")</f>
        <v>#VALUE!</v>
      </c>
      <c r="CM1">
        <f>IF(Лист1!10:10,"AAAAAHuln1o=",0)</f>
        <v>0</v>
      </c>
      <c r="CN1" t="e">
        <f>AND(Лист1!A10,"AAAAAHuln1s=")</f>
        <v>#VALUE!</v>
      </c>
      <c r="CO1" t="e">
        <f>AND(Лист1!B10,"AAAAAHuln1w=")</f>
        <v>#VALUE!</v>
      </c>
      <c r="CP1" t="e">
        <f>AND(Лист1!C10,"AAAAAHuln10=")</f>
        <v>#VALUE!</v>
      </c>
      <c r="CQ1" t="e">
        <f>AND(Лист1!D10,"AAAAAHuln14=")</f>
        <v>#VALUE!</v>
      </c>
      <c r="CR1" t="e">
        <f>AND(Лист1!E10,"AAAAAHuln18=")</f>
        <v>#VALUE!</v>
      </c>
      <c r="CS1" t="e">
        <f>AND(Лист1!F10,"AAAAAHuln2A=")</f>
        <v>#VALUE!</v>
      </c>
      <c r="CT1" t="e">
        <f>AND(Лист1!G10,"AAAAAHuln2E=")</f>
        <v>#VALUE!</v>
      </c>
      <c r="CU1" t="e">
        <f>AND(Лист1!H10,"AAAAAHuln2I=")</f>
        <v>#VALUE!</v>
      </c>
      <c r="CV1" t="e">
        <f>AND(Лист1!I10,"AAAAAHuln2M=")</f>
        <v>#VALUE!</v>
      </c>
      <c r="CW1">
        <f>IF(Лист1!11:11,"AAAAAHuln2Q=",0)</f>
        <v>0</v>
      </c>
      <c r="CX1" t="e">
        <f>AND(Лист1!A11,"AAAAAHuln2U=")</f>
        <v>#VALUE!</v>
      </c>
      <c r="CY1" t="e">
        <f>AND(Лист1!B11,"AAAAAHuln2Y=")</f>
        <v>#VALUE!</v>
      </c>
      <c r="CZ1" t="e">
        <f>AND(Лист1!C11,"AAAAAHuln2c=")</f>
        <v>#VALUE!</v>
      </c>
      <c r="DA1" t="e">
        <f>AND(Лист1!D11,"AAAAAHuln2g=")</f>
        <v>#VALUE!</v>
      </c>
      <c r="DB1" t="e">
        <f>AND(Лист1!E11,"AAAAAHuln2k=")</f>
        <v>#VALUE!</v>
      </c>
      <c r="DC1" t="e">
        <f>AND(Лист1!F11,"AAAAAHuln2o=")</f>
        <v>#VALUE!</v>
      </c>
      <c r="DD1" t="e">
        <f>AND(Лист1!G11,"AAAAAHuln2s=")</f>
        <v>#VALUE!</v>
      </c>
      <c r="DE1" t="e">
        <f>AND(Лист1!H11,"AAAAAHuln2w=")</f>
        <v>#VALUE!</v>
      </c>
      <c r="DF1" t="e">
        <f>AND(Лист1!I11,"AAAAAHuln20=")</f>
        <v>#VALUE!</v>
      </c>
      <c r="DG1">
        <f>IF(Лист1!12:12,"AAAAAHuln24=",0)</f>
        <v>0</v>
      </c>
      <c r="DH1" t="e">
        <f>AND(Лист1!A12,"AAAAAHuln28=")</f>
        <v>#VALUE!</v>
      </c>
      <c r="DI1" t="e">
        <f>AND(Лист1!B12,"AAAAAHuln3A=")</f>
        <v>#VALUE!</v>
      </c>
      <c r="DJ1" t="e">
        <f>AND(Лист1!C12,"AAAAAHuln3E=")</f>
        <v>#VALUE!</v>
      </c>
      <c r="DK1" t="e">
        <f>AND(Лист1!D12,"AAAAAHuln3I=")</f>
        <v>#VALUE!</v>
      </c>
      <c r="DL1" t="e">
        <f>AND(Лист1!E12,"AAAAAHuln3M=")</f>
        <v>#VALUE!</v>
      </c>
      <c r="DM1" t="e">
        <f>AND(Лист1!F12,"AAAAAHuln3Q=")</f>
        <v>#VALUE!</v>
      </c>
      <c r="DN1" t="e">
        <f>AND(Лист1!G12,"AAAAAHuln3U=")</f>
        <v>#VALUE!</v>
      </c>
      <c r="DO1" t="e">
        <f>AND(Лист1!H12,"AAAAAHuln3Y=")</f>
        <v>#VALUE!</v>
      </c>
      <c r="DP1" t="e">
        <f>AND(Лист1!I12,"AAAAAHuln3c=")</f>
        <v>#VALUE!</v>
      </c>
      <c r="DQ1">
        <f>IF(Лист1!13:13,"AAAAAHuln3g=",0)</f>
        <v>0</v>
      </c>
      <c r="DR1" t="e">
        <f>AND(Лист1!A13,"AAAAAHuln3k=")</f>
        <v>#VALUE!</v>
      </c>
      <c r="DS1" t="e">
        <f>AND(Лист1!B13,"AAAAAHuln3o=")</f>
        <v>#VALUE!</v>
      </c>
      <c r="DT1" t="e">
        <f>AND(Лист1!C13,"AAAAAHuln3s=")</f>
        <v>#VALUE!</v>
      </c>
      <c r="DU1" t="e">
        <f>AND(Лист1!D13,"AAAAAHuln3w=")</f>
        <v>#VALUE!</v>
      </c>
      <c r="DV1" t="e">
        <f>AND(Лист1!E13,"AAAAAHuln30=")</f>
        <v>#VALUE!</v>
      </c>
      <c r="DW1" t="e">
        <f>AND(Лист1!F13,"AAAAAHuln34=")</f>
        <v>#VALUE!</v>
      </c>
      <c r="DX1" t="e">
        <f>AND(Лист1!G13,"AAAAAHuln38=")</f>
        <v>#VALUE!</v>
      </c>
      <c r="DY1" t="e">
        <f>AND(Лист1!H13,"AAAAAHuln4A=")</f>
        <v>#VALUE!</v>
      </c>
      <c r="DZ1" t="e">
        <f>AND(Лист1!I13,"AAAAAHuln4E=")</f>
        <v>#VALUE!</v>
      </c>
      <c r="EA1">
        <f>IF(Лист1!14:14,"AAAAAHuln4I=",0)</f>
        <v>0</v>
      </c>
      <c r="EB1" t="e">
        <f>AND(Лист1!A14,"AAAAAHuln4M=")</f>
        <v>#VALUE!</v>
      </c>
      <c r="EC1" t="e">
        <f>AND(Лист1!B14,"AAAAAHuln4Q=")</f>
        <v>#VALUE!</v>
      </c>
      <c r="ED1" t="e">
        <f>AND(Лист1!C14,"AAAAAHuln4U=")</f>
        <v>#VALUE!</v>
      </c>
      <c r="EE1" t="e">
        <f>AND(Лист1!D14,"AAAAAHuln4Y=")</f>
        <v>#VALUE!</v>
      </c>
      <c r="EF1" t="e">
        <f>AND(Лист1!E14,"AAAAAHuln4c=")</f>
        <v>#VALUE!</v>
      </c>
      <c r="EG1" t="e">
        <f>AND(Лист1!F14,"AAAAAHuln4g=")</f>
        <v>#VALUE!</v>
      </c>
      <c r="EH1" t="e">
        <f>AND(Лист1!G14,"AAAAAHuln4k=")</f>
        <v>#VALUE!</v>
      </c>
      <c r="EI1" t="e">
        <f>AND(Лист1!H14,"AAAAAHuln4o=")</f>
        <v>#VALUE!</v>
      </c>
      <c r="EJ1" t="e">
        <f>AND(Лист1!I14,"AAAAAHuln4s=")</f>
        <v>#VALUE!</v>
      </c>
      <c r="EK1">
        <f>IF(Лист1!15:15,"AAAAAHuln4w=",0)</f>
        <v>0</v>
      </c>
      <c r="EL1" t="e">
        <f>AND(Лист1!A15,"AAAAAHuln40=")</f>
        <v>#VALUE!</v>
      </c>
      <c r="EM1" t="e">
        <f>AND(Лист1!B15,"AAAAAHuln44=")</f>
        <v>#VALUE!</v>
      </c>
      <c r="EN1" t="e">
        <f>AND(Лист1!C15,"AAAAAHuln48=")</f>
        <v>#VALUE!</v>
      </c>
      <c r="EO1" t="e">
        <f>AND(Лист1!D15,"AAAAAHuln5A=")</f>
        <v>#VALUE!</v>
      </c>
      <c r="EP1" t="e">
        <f>AND(Лист1!E15,"AAAAAHuln5E=")</f>
        <v>#VALUE!</v>
      </c>
      <c r="EQ1" t="e">
        <f>AND(Лист1!F15,"AAAAAHuln5I=")</f>
        <v>#VALUE!</v>
      </c>
      <c r="ER1" t="e">
        <f>AND(Лист1!G15,"AAAAAHuln5M=")</f>
        <v>#VALUE!</v>
      </c>
      <c r="ES1" t="e">
        <f>AND(Лист1!H15,"AAAAAHuln5Q=")</f>
        <v>#VALUE!</v>
      </c>
      <c r="ET1" t="e">
        <f>AND(Лист1!I15,"AAAAAHuln5U=")</f>
        <v>#VALUE!</v>
      </c>
      <c r="EU1">
        <f>IF(Лист1!16:16,"AAAAAHuln5Y=",0)</f>
        <v>0</v>
      </c>
      <c r="EV1" t="e">
        <f>AND(Лист1!A16,"AAAAAHuln5c=")</f>
        <v>#VALUE!</v>
      </c>
      <c r="EW1" t="e">
        <f>AND(Лист1!B16,"AAAAAHuln5g=")</f>
        <v>#VALUE!</v>
      </c>
      <c r="EX1" t="e">
        <f>AND(Лист1!C16,"AAAAAHuln5k=")</f>
        <v>#VALUE!</v>
      </c>
      <c r="EY1" t="e">
        <f>AND(Лист1!D16,"AAAAAHuln5o=")</f>
        <v>#VALUE!</v>
      </c>
      <c r="EZ1" t="e">
        <f>AND(Лист1!E16,"AAAAAHuln5s=")</f>
        <v>#VALUE!</v>
      </c>
      <c r="FA1" t="e">
        <f>AND(Лист1!F16,"AAAAAHuln5w=")</f>
        <v>#VALUE!</v>
      </c>
      <c r="FB1" t="e">
        <f>AND(Лист1!G16,"AAAAAHuln50=")</f>
        <v>#VALUE!</v>
      </c>
      <c r="FC1" t="e">
        <f>AND(Лист1!H16,"AAAAAHuln54=")</f>
        <v>#VALUE!</v>
      </c>
      <c r="FD1" t="e">
        <f>AND(Лист1!I16,"AAAAAHuln58=")</f>
        <v>#VALUE!</v>
      </c>
      <c r="FE1">
        <f>IF(Лист1!17:17,"AAAAAHuln6A=",0)</f>
        <v>0</v>
      </c>
      <c r="FF1" t="e">
        <f>AND(Лист1!A17,"AAAAAHuln6E=")</f>
        <v>#VALUE!</v>
      </c>
      <c r="FG1" t="e">
        <f>AND(Лист1!B17,"AAAAAHuln6I=")</f>
        <v>#VALUE!</v>
      </c>
      <c r="FH1" t="e">
        <f>AND(Лист1!C17,"AAAAAHuln6M=")</f>
        <v>#VALUE!</v>
      </c>
      <c r="FI1" t="e">
        <f>AND(Лист1!D17,"AAAAAHuln6Q=")</f>
        <v>#VALUE!</v>
      </c>
      <c r="FJ1" t="e">
        <f>AND(Лист1!E17,"AAAAAHuln6U=")</f>
        <v>#VALUE!</v>
      </c>
      <c r="FK1" t="e">
        <f>AND(Лист1!F17,"AAAAAHuln6Y=")</f>
        <v>#VALUE!</v>
      </c>
      <c r="FL1" t="e">
        <f>AND(Лист1!G17,"AAAAAHuln6c=")</f>
        <v>#VALUE!</v>
      </c>
      <c r="FM1" t="e">
        <f>AND(Лист1!H17,"AAAAAHuln6g=")</f>
        <v>#VALUE!</v>
      </c>
      <c r="FN1" t="e">
        <f>AND(Лист1!I17,"AAAAAHuln6k=")</f>
        <v>#VALUE!</v>
      </c>
      <c r="FO1">
        <f>IF(Лист1!18:18,"AAAAAHuln6o=",0)</f>
        <v>0</v>
      </c>
      <c r="FP1" t="e">
        <f>AND(Лист1!A18,"AAAAAHuln6s=")</f>
        <v>#VALUE!</v>
      </c>
      <c r="FQ1" t="e">
        <f>AND(Лист1!B18,"AAAAAHuln6w=")</f>
        <v>#VALUE!</v>
      </c>
      <c r="FR1" t="e">
        <f>AND(Лист1!C18,"AAAAAHuln60=")</f>
        <v>#VALUE!</v>
      </c>
      <c r="FS1" t="e">
        <f>AND(Лист1!D18,"AAAAAHuln64=")</f>
        <v>#VALUE!</v>
      </c>
      <c r="FT1" t="e">
        <f>AND(Лист1!E18,"AAAAAHuln68=")</f>
        <v>#VALUE!</v>
      </c>
      <c r="FU1" t="e">
        <f>AND(Лист1!F18,"AAAAAHuln7A=")</f>
        <v>#VALUE!</v>
      </c>
      <c r="FV1" t="e">
        <f>AND(Лист1!G18,"AAAAAHuln7E=")</f>
        <v>#VALUE!</v>
      </c>
      <c r="FW1" t="e">
        <f>AND(Лист1!H18,"AAAAAHuln7I=")</f>
        <v>#VALUE!</v>
      </c>
      <c r="FX1" t="e">
        <f>AND(Лист1!I18,"AAAAAHuln7M=")</f>
        <v>#VALUE!</v>
      </c>
      <c r="FY1">
        <f>IF(Лист1!19:19,"AAAAAHuln7Q=",0)</f>
        <v>0</v>
      </c>
      <c r="FZ1" t="e">
        <f>AND(Лист1!A19,"AAAAAHuln7U=")</f>
        <v>#VALUE!</v>
      </c>
      <c r="GA1" t="e">
        <f>AND(Лист1!B19,"AAAAAHuln7Y=")</f>
        <v>#VALUE!</v>
      </c>
      <c r="GB1" t="e">
        <f>AND(Лист1!C19,"AAAAAHuln7c=")</f>
        <v>#VALUE!</v>
      </c>
      <c r="GC1" t="e">
        <f>AND(Лист1!D19,"AAAAAHuln7g=")</f>
        <v>#VALUE!</v>
      </c>
      <c r="GD1" t="e">
        <f>AND(Лист1!E19,"AAAAAHuln7k=")</f>
        <v>#VALUE!</v>
      </c>
      <c r="GE1" t="e">
        <f>AND(Лист1!F19,"AAAAAHuln7o=")</f>
        <v>#VALUE!</v>
      </c>
      <c r="GF1" t="e">
        <f>AND(Лист1!G19,"AAAAAHuln7s=")</f>
        <v>#VALUE!</v>
      </c>
      <c r="GG1" t="e">
        <f>AND(Лист1!H19,"AAAAAHuln7w=")</f>
        <v>#VALUE!</v>
      </c>
      <c r="GH1" t="e">
        <f>AND(Лист1!I19,"AAAAAHuln70=")</f>
        <v>#VALUE!</v>
      </c>
      <c r="GI1">
        <f>IF(Лист1!20:20,"AAAAAHuln74=",0)</f>
        <v>0</v>
      </c>
      <c r="GJ1" t="e">
        <f>AND(Лист1!A20,"AAAAAHuln78=")</f>
        <v>#VALUE!</v>
      </c>
      <c r="GK1" t="e">
        <f>AND(Лист1!B20,"AAAAAHuln8A=")</f>
        <v>#VALUE!</v>
      </c>
      <c r="GL1" t="e">
        <f>AND(Лист1!C20,"AAAAAHuln8E=")</f>
        <v>#VALUE!</v>
      </c>
      <c r="GM1" t="e">
        <f>AND(Лист1!D20,"AAAAAHuln8I=")</f>
        <v>#VALUE!</v>
      </c>
      <c r="GN1" t="e">
        <f>AND(Лист1!E20,"AAAAAHuln8M=")</f>
        <v>#VALUE!</v>
      </c>
      <c r="GO1" t="e">
        <f>AND(Лист1!F20,"AAAAAHuln8Q=")</f>
        <v>#VALUE!</v>
      </c>
      <c r="GP1" t="e">
        <f>AND(Лист1!G20,"AAAAAHuln8U=")</f>
        <v>#VALUE!</v>
      </c>
      <c r="GQ1" t="e">
        <f>AND(Лист1!H20,"AAAAAHuln8Y=")</f>
        <v>#VALUE!</v>
      </c>
      <c r="GR1" t="e">
        <f>AND(Лист1!I20,"AAAAAHuln8c=")</f>
        <v>#VALUE!</v>
      </c>
      <c r="GS1">
        <f>IF(Лист1!21:21,"AAAAAHuln8g=",0)</f>
        <v>0</v>
      </c>
      <c r="GT1" t="e">
        <f>AND(Лист1!A21,"AAAAAHuln8k=")</f>
        <v>#VALUE!</v>
      </c>
      <c r="GU1" t="e">
        <f>AND(Лист1!B21,"AAAAAHuln8o=")</f>
        <v>#VALUE!</v>
      </c>
      <c r="GV1" t="e">
        <f>AND(Лист1!C21,"AAAAAHuln8s=")</f>
        <v>#VALUE!</v>
      </c>
      <c r="GW1" t="e">
        <f>AND(Лист1!D21,"AAAAAHuln8w=")</f>
        <v>#VALUE!</v>
      </c>
      <c r="GX1" t="e">
        <f>AND(Лист1!E21,"AAAAAHuln80=")</f>
        <v>#VALUE!</v>
      </c>
      <c r="GY1" t="e">
        <f>AND(Лист1!F21,"AAAAAHuln84=")</f>
        <v>#VALUE!</v>
      </c>
      <c r="GZ1" t="e">
        <f>AND(Лист1!G21,"AAAAAHuln88=")</f>
        <v>#VALUE!</v>
      </c>
      <c r="HA1" t="e">
        <f>AND(Лист1!H21,"AAAAAHuln9A=")</f>
        <v>#VALUE!</v>
      </c>
      <c r="HB1" t="e">
        <f>AND(Лист1!I21,"AAAAAHuln9E=")</f>
        <v>#VALUE!</v>
      </c>
      <c r="HC1">
        <f>IF(Лист1!22:22,"AAAAAHuln9I=",0)</f>
        <v>0</v>
      </c>
      <c r="HD1" t="e">
        <f>AND(Лист1!A22,"AAAAAHuln9M=")</f>
        <v>#VALUE!</v>
      </c>
      <c r="HE1" t="e">
        <f>AND(Лист1!B22,"AAAAAHuln9Q=")</f>
        <v>#VALUE!</v>
      </c>
      <c r="HF1" t="e">
        <f>AND(Лист1!C22,"AAAAAHuln9U=")</f>
        <v>#VALUE!</v>
      </c>
      <c r="HG1" t="e">
        <f>AND(Лист1!D22,"AAAAAHuln9Y=")</f>
        <v>#VALUE!</v>
      </c>
      <c r="HH1" t="e">
        <f>AND(Лист1!E22,"AAAAAHuln9c=")</f>
        <v>#VALUE!</v>
      </c>
      <c r="HI1" t="e">
        <f>AND(Лист1!F22,"AAAAAHuln9g=")</f>
        <v>#VALUE!</v>
      </c>
      <c r="HJ1" t="e">
        <f>AND(Лист1!G22,"AAAAAHuln9k=")</f>
        <v>#VALUE!</v>
      </c>
      <c r="HK1" t="e">
        <f>AND(Лист1!H22,"AAAAAHuln9o=")</f>
        <v>#VALUE!</v>
      </c>
      <c r="HL1" t="e">
        <f>AND(Лист1!I22,"AAAAAHuln9s=")</f>
        <v>#VALUE!</v>
      </c>
      <c r="HM1">
        <f>IF(Лист1!23:23,"AAAAAHuln9w=",0)</f>
        <v>0</v>
      </c>
      <c r="HN1" t="e">
        <f>AND(Лист1!A23,"AAAAAHuln90=")</f>
        <v>#VALUE!</v>
      </c>
      <c r="HO1" t="e">
        <f>AND(Лист1!B23,"AAAAAHuln94=")</f>
        <v>#VALUE!</v>
      </c>
      <c r="HP1" t="e">
        <f>AND(Лист1!C23,"AAAAAHuln98=")</f>
        <v>#VALUE!</v>
      </c>
      <c r="HQ1" t="e">
        <f>AND(Лист1!D23,"AAAAAHuln+A=")</f>
        <v>#VALUE!</v>
      </c>
      <c r="HR1" t="e">
        <f>AND(Лист1!E23,"AAAAAHuln+E=")</f>
        <v>#VALUE!</v>
      </c>
      <c r="HS1" t="e">
        <f>AND(Лист1!F23,"AAAAAHuln+I=")</f>
        <v>#VALUE!</v>
      </c>
      <c r="HT1" t="e">
        <f>AND(Лист1!G23,"AAAAAHuln+M=")</f>
        <v>#VALUE!</v>
      </c>
      <c r="HU1" t="e">
        <f>AND(Лист1!H23,"AAAAAHuln+Q=")</f>
        <v>#VALUE!</v>
      </c>
      <c r="HV1" t="e">
        <f>AND(Лист1!I23,"AAAAAHuln+U=")</f>
        <v>#VALUE!</v>
      </c>
      <c r="HW1">
        <f>IF(Лист1!24:24,"AAAAAHuln+Y=",0)</f>
        <v>0</v>
      </c>
      <c r="HX1" t="e">
        <f>AND(Лист1!A24,"AAAAAHuln+c=")</f>
        <v>#VALUE!</v>
      </c>
      <c r="HY1" t="e">
        <f>AND(Лист1!B24,"AAAAAHuln+g=")</f>
        <v>#VALUE!</v>
      </c>
      <c r="HZ1" t="e">
        <f>AND(Лист1!C24,"AAAAAHuln+k=")</f>
        <v>#VALUE!</v>
      </c>
      <c r="IA1" t="e">
        <f>AND(Лист1!D24,"AAAAAHuln+o=")</f>
        <v>#VALUE!</v>
      </c>
      <c r="IB1" t="e">
        <f>AND(Лист1!E24,"AAAAAHuln+s=")</f>
        <v>#VALUE!</v>
      </c>
      <c r="IC1" t="e">
        <f>AND(Лист1!F24,"AAAAAHuln+w=")</f>
        <v>#VALUE!</v>
      </c>
      <c r="ID1" t="e">
        <f>AND(Лист1!G24,"AAAAAHuln+0=")</f>
        <v>#VALUE!</v>
      </c>
      <c r="IE1" t="e">
        <f>AND(Лист1!H24,"AAAAAHuln+4=")</f>
        <v>#VALUE!</v>
      </c>
      <c r="IF1" t="e">
        <f>AND(Лист1!I24,"AAAAAHuln+8=")</f>
        <v>#VALUE!</v>
      </c>
      <c r="IG1">
        <f>IF(Лист1!25:25,"AAAAAHuln/A=",0)</f>
        <v>0</v>
      </c>
      <c r="IH1" t="e">
        <f>AND(Лист1!A25,"AAAAAHuln/E=")</f>
        <v>#VALUE!</v>
      </c>
      <c r="II1" t="e">
        <f>AND(Лист1!B25,"AAAAAHuln/I=")</f>
        <v>#VALUE!</v>
      </c>
      <c r="IJ1" t="e">
        <f>AND(Лист1!C25,"AAAAAHuln/M=")</f>
        <v>#VALUE!</v>
      </c>
      <c r="IK1" t="e">
        <f>AND(Лист1!D25,"AAAAAHuln/Q=")</f>
        <v>#VALUE!</v>
      </c>
      <c r="IL1" t="e">
        <f>AND(Лист1!E25,"AAAAAHuln/U=")</f>
        <v>#VALUE!</v>
      </c>
      <c r="IM1" t="e">
        <f>AND(Лист1!F25,"AAAAAHuln/Y=")</f>
        <v>#VALUE!</v>
      </c>
      <c r="IN1" t="e">
        <f>AND(Лист1!G25,"AAAAAHuln/c=")</f>
        <v>#VALUE!</v>
      </c>
      <c r="IO1" t="e">
        <f>AND(Лист1!H25,"AAAAAHuln/g=")</f>
        <v>#VALUE!</v>
      </c>
      <c r="IP1" t="e">
        <f>AND(Лист1!I25,"AAAAAHuln/k=")</f>
        <v>#VALUE!</v>
      </c>
      <c r="IQ1">
        <f>IF(Лист1!26:26,"AAAAAHuln/o=",0)</f>
        <v>0</v>
      </c>
      <c r="IR1" t="e">
        <f>AND(Лист1!A26,"AAAAAHuln/s=")</f>
        <v>#VALUE!</v>
      </c>
      <c r="IS1" t="e">
        <f>AND(Лист1!B26,"AAAAAHuln/w=")</f>
        <v>#VALUE!</v>
      </c>
      <c r="IT1" t="e">
        <f>AND(Лист1!C26,"AAAAAHuln/0=")</f>
        <v>#VALUE!</v>
      </c>
      <c r="IU1" t="e">
        <f>AND(Лист1!D26,"AAAAAHuln/4=")</f>
        <v>#VALUE!</v>
      </c>
      <c r="IV1" t="e">
        <f>AND(Лист1!E26,"AAAAAHuln/8=")</f>
        <v>#VALUE!</v>
      </c>
    </row>
    <row r="2" spans="1:256" ht="12.75">
      <c r="A2" t="e">
        <f>AND(Лист1!F26,"AAAAAG/m/wA=")</f>
        <v>#VALUE!</v>
      </c>
      <c r="B2" t="e">
        <f>AND(Лист1!G26,"AAAAAG/m/wE=")</f>
        <v>#VALUE!</v>
      </c>
      <c r="C2" t="e">
        <f>AND(Лист1!H26,"AAAAAG/m/wI=")</f>
        <v>#VALUE!</v>
      </c>
      <c r="D2" t="e">
        <f>AND(Лист1!I26,"AAAAAG/m/wM=")</f>
        <v>#VALUE!</v>
      </c>
      <c r="E2" t="str">
        <f>IF(Лист1!27:27,"AAAAAG/m/wQ=",0)</f>
        <v>AAAAAG/m/wQ=</v>
      </c>
      <c r="F2" t="e">
        <f>AND(Лист1!A27,"AAAAAG/m/wU=")</f>
        <v>#VALUE!</v>
      </c>
      <c r="G2" t="e">
        <f>AND(Лист1!B27,"AAAAAG/m/wY=")</f>
        <v>#VALUE!</v>
      </c>
      <c r="H2" t="e">
        <f>AND(Лист1!C27,"AAAAAG/m/wc=")</f>
        <v>#VALUE!</v>
      </c>
      <c r="I2" t="e">
        <f>AND(Лист1!D27,"AAAAAG/m/wg=")</f>
        <v>#VALUE!</v>
      </c>
      <c r="J2" t="e">
        <f>AND(Лист1!E27,"AAAAAG/m/wk=")</f>
        <v>#VALUE!</v>
      </c>
      <c r="K2" t="e">
        <f>AND(Лист1!F27,"AAAAAG/m/wo=")</f>
        <v>#VALUE!</v>
      </c>
      <c r="L2" t="e">
        <f>AND(Лист1!G27,"AAAAAG/m/ws=")</f>
        <v>#VALUE!</v>
      </c>
      <c r="M2" t="e">
        <f>AND(Лист1!H27,"AAAAAG/m/ww=")</f>
        <v>#VALUE!</v>
      </c>
      <c r="N2" t="e">
        <f>AND(Лист1!I27,"AAAAAG/m/w0=")</f>
        <v>#VALUE!</v>
      </c>
      <c r="O2">
        <f>IF(Лист1!28:28,"AAAAAG/m/w4=",0)</f>
        <v>0</v>
      </c>
      <c r="P2" t="e">
        <f>AND(Лист1!A28,"AAAAAG/m/w8=")</f>
        <v>#VALUE!</v>
      </c>
      <c r="Q2" t="e">
        <f>AND(Лист1!B28,"AAAAAG/m/xA=")</f>
        <v>#VALUE!</v>
      </c>
      <c r="R2" t="e">
        <f>AND(Лист1!C28,"AAAAAG/m/xE=")</f>
        <v>#VALUE!</v>
      </c>
      <c r="S2" t="e">
        <f>AND(Лист1!D28,"AAAAAG/m/xI=")</f>
        <v>#VALUE!</v>
      </c>
      <c r="T2" t="e">
        <f>AND(Лист1!E28,"AAAAAG/m/xM=")</f>
        <v>#VALUE!</v>
      </c>
      <c r="U2" t="e">
        <f>AND(Лист1!F28,"AAAAAG/m/xQ=")</f>
        <v>#VALUE!</v>
      </c>
      <c r="V2" t="e">
        <f>AND(Лист1!G28,"AAAAAG/m/xU=")</f>
        <v>#VALUE!</v>
      </c>
      <c r="W2" t="e">
        <f>AND(Лист1!H28,"AAAAAG/m/xY=")</f>
        <v>#VALUE!</v>
      </c>
      <c r="X2" t="e">
        <f>AND(Лист1!I28,"AAAAAG/m/xc=")</f>
        <v>#VALUE!</v>
      </c>
      <c r="Y2">
        <f>IF(Лист1!29:29,"AAAAAG/m/xg=",0)</f>
        <v>0</v>
      </c>
      <c r="Z2" t="e">
        <f>AND(Лист1!A29,"AAAAAG/m/xk=")</f>
        <v>#VALUE!</v>
      </c>
      <c r="AA2" t="e">
        <f>AND(Лист1!B29,"AAAAAG/m/xo=")</f>
        <v>#VALUE!</v>
      </c>
      <c r="AB2" t="e">
        <f>AND(Лист1!C29,"AAAAAG/m/xs=")</f>
        <v>#VALUE!</v>
      </c>
      <c r="AC2" t="e">
        <f>AND(Лист1!D29,"AAAAAG/m/xw=")</f>
        <v>#VALUE!</v>
      </c>
      <c r="AD2" t="e">
        <f>AND(Лист1!E29,"AAAAAG/m/x0=")</f>
        <v>#VALUE!</v>
      </c>
      <c r="AE2" t="e">
        <f>AND(Лист1!F29,"AAAAAG/m/x4=")</f>
        <v>#VALUE!</v>
      </c>
      <c r="AF2" t="e">
        <f>AND(Лист1!G29,"AAAAAG/m/x8=")</f>
        <v>#VALUE!</v>
      </c>
      <c r="AG2" t="e">
        <f>AND(Лист1!H29,"AAAAAG/m/yA=")</f>
        <v>#VALUE!</v>
      </c>
      <c r="AH2" t="e">
        <f>AND(Лист1!I29,"AAAAAG/m/yE=")</f>
        <v>#VALUE!</v>
      </c>
      <c r="AI2">
        <f>IF(Лист1!30:30,"AAAAAG/m/yI=",0)</f>
        <v>0</v>
      </c>
      <c r="AJ2" t="e">
        <f>AND(Лист1!A30,"AAAAAG/m/yM=")</f>
        <v>#VALUE!</v>
      </c>
      <c r="AK2" t="e">
        <f>AND(Лист1!B30,"AAAAAG/m/yQ=")</f>
        <v>#VALUE!</v>
      </c>
      <c r="AL2" t="e">
        <f>AND(Лист1!C30,"AAAAAG/m/yU=")</f>
        <v>#VALUE!</v>
      </c>
      <c r="AM2" t="e">
        <f>AND(Лист1!D30,"AAAAAG/m/yY=")</f>
        <v>#VALUE!</v>
      </c>
      <c r="AN2" t="e">
        <f>AND(Лист1!E30,"AAAAAG/m/yc=")</f>
        <v>#VALUE!</v>
      </c>
      <c r="AO2" t="e">
        <f>AND(Лист1!F30,"AAAAAG/m/yg=")</f>
        <v>#VALUE!</v>
      </c>
      <c r="AP2" t="e">
        <f>AND(Лист1!G30,"AAAAAG/m/yk=")</f>
        <v>#VALUE!</v>
      </c>
      <c r="AQ2" t="e">
        <f>AND(Лист1!H30,"AAAAAG/m/yo=")</f>
        <v>#VALUE!</v>
      </c>
      <c r="AR2" t="e">
        <f>AND(Лист1!I30,"AAAAAG/m/ys=")</f>
        <v>#VALUE!</v>
      </c>
      <c r="AS2">
        <f>IF(Лист1!31:31,"AAAAAG/m/yw=",0)</f>
        <v>0</v>
      </c>
      <c r="AT2" t="e">
        <f>AND(Лист1!A31,"AAAAAG/m/y0=")</f>
        <v>#VALUE!</v>
      </c>
      <c r="AU2" t="e">
        <f>AND(Лист1!B31,"AAAAAG/m/y4=")</f>
        <v>#VALUE!</v>
      </c>
      <c r="AV2" t="e">
        <f>AND(Лист1!C31,"AAAAAG/m/y8=")</f>
        <v>#VALUE!</v>
      </c>
      <c r="AW2" t="e">
        <f>AND(Лист1!D31,"AAAAAG/m/zA=")</f>
        <v>#VALUE!</v>
      </c>
      <c r="AX2" t="e">
        <f>AND(Лист1!E31,"AAAAAG/m/zE=")</f>
        <v>#VALUE!</v>
      </c>
      <c r="AY2" t="e">
        <f>AND(Лист1!F31,"AAAAAG/m/zI=")</f>
        <v>#VALUE!</v>
      </c>
      <c r="AZ2" t="e">
        <f>AND(Лист1!G31,"AAAAAG/m/zM=")</f>
        <v>#VALUE!</v>
      </c>
      <c r="BA2" t="e">
        <f>AND(Лист1!H31,"AAAAAG/m/zQ=")</f>
        <v>#VALUE!</v>
      </c>
      <c r="BB2" t="e">
        <f>AND(Лист1!I31,"AAAAAG/m/zU=")</f>
        <v>#VALUE!</v>
      </c>
      <c r="BC2">
        <f>IF(Лист1!32:32,"AAAAAG/m/zY=",0)</f>
        <v>0</v>
      </c>
      <c r="BD2" t="e">
        <f>AND(Лист1!A32,"AAAAAG/m/zc=")</f>
        <v>#VALUE!</v>
      </c>
      <c r="BE2" t="e">
        <f>AND(Лист1!B32,"AAAAAG/m/zg=")</f>
        <v>#VALUE!</v>
      </c>
      <c r="BF2" t="e">
        <f>AND(Лист1!C32,"AAAAAG/m/zk=")</f>
        <v>#VALUE!</v>
      </c>
      <c r="BG2" t="e">
        <f>AND(Лист1!D32,"AAAAAG/m/zo=")</f>
        <v>#VALUE!</v>
      </c>
      <c r="BH2" t="e">
        <f>AND(Лист1!E32,"AAAAAG/m/zs=")</f>
        <v>#VALUE!</v>
      </c>
      <c r="BI2" t="e">
        <f>AND(Лист1!F32,"AAAAAG/m/zw=")</f>
        <v>#VALUE!</v>
      </c>
      <c r="BJ2" t="e">
        <f>AND(Лист1!G32,"AAAAAG/m/z0=")</f>
        <v>#VALUE!</v>
      </c>
      <c r="BK2" t="e">
        <f>AND(Лист1!H32,"AAAAAG/m/z4=")</f>
        <v>#VALUE!</v>
      </c>
      <c r="BL2" t="e">
        <f>AND(Лист1!I32,"AAAAAG/m/z8=")</f>
        <v>#VALUE!</v>
      </c>
      <c r="BM2">
        <f>IF(Лист1!33:33,"AAAAAG/m/0A=",0)</f>
        <v>0</v>
      </c>
      <c r="BN2" t="e">
        <f>AND(Лист1!A33,"AAAAAG/m/0E=")</f>
        <v>#VALUE!</v>
      </c>
      <c r="BO2" t="e">
        <f>AND(Лист1!B33,"AAAAAG/m/0I=")</f>
        <v>#VALUE!</v>
      </c>
      <c r="BP2" t="e">
        <f>AND(Лист1!C33,"AAAAAG/m/0M=")</f>
        <v>#VALUE!</v>
      </c>
      <c r="BQ2" t="e">
        <f>AND(Лист1!D33,"AAAAAG/m/0Q=")</f>
        <v>#VALUE!</v>
      </c>
      <c r="BR2" t="e">
        <f>AND(Лист1!E33,"AAAAAG/m/0U=")</f>
        <v>#VALUE!</v>
      </c>
      <c r="BS2" t="e">
        <f>AND(Лист1!F33,"AAAAAG/m/0Y=")</f>
        <v>#VALUE!</v>
      </c>
      <c r="BT2" t="e">
        <f>AND(Лист1!G33,"AAAAAG/m/0c=")</f>
        <v>#VALUE!</v>
      </c>
      <c r="BU2" t="e">
        <f>AND(Лист1!H33,"AAAAAG/m/0g=")</f>
        <v>#VALUE!</v>
      </c>
      <c r="BV2" t="e">
        <f>AND(Лист1!I33,"AAAAAG/m/0k=")</f>
        <v>#VALUE!</v>
      </c>
      <c r="BW2">
        <f>IF(Лист1!34:34,"AAAAAG/m/0o=",0)</f>
        <v>0</v>
      </c>
      <c r="BX2" t="e">
        <f>AND(Лист1!A34,"AAAAAG/m/0s=")</f>
        <v>#VALUE!</v>
      </c>
      <c r="BY2" t="e">
        <f>AND(Лист1!B34,"AAAAAG/m/0w=")</f>
        <v>#VALUE!</v>
      </c>
      <c r="BZ2" t="e">
        <f>AND(Лист1!C34,"AAAAAG/m/00=")</f>
        <v>#VALUE!</v>
      </c>
      <c r="CA2" t="e">
        <f>AND(Лист1!D34,"AAAAAG/m/04=")</f>
        <v>#VALUE!</v>
      </c>
      <c r="CB2" t="e">
        <f>AND(Лист1!E34,"AAAAAG/m/08=")</f>
        <v>#VALUE!</v>
      </c>
      <c r="CC2" t="e">
        <f>AND(Лист1!F34,"AAAAAG/m/1A=")</f>
        <v>#VALUE!</v>
      </c>
      <c r="CD2" t="e">
        <f>AND(Лист1!G34,"AAAAAG/m/1E=")</f>
        <v>#VALUE!</v>
      </c>
      <c r="CE2" t="e">
        <f>AND(Лист1!H34,"AAAAAG/m/1I=")</f>
        <v>#VALUE!</v>
      </c>
      <c r="CF2" t="e">
        <f>AND(Лист1!I34,"AAAAAG/m/1M=")</f>
        <v>#VALUE!</v>
      </c>
      <c r="CG2">
        <f>IF(Лист1!35:35,"AAAAAG/m/1Q=",0)</f>
        <v>0</v>
      </c>
      <c r="CH2" t="e">
        <f>AND(Лист1!A35,"AAAAAG/m/1U=")</f>
        <v>#VALUE!</v>
      </c>
      <c r="CI2" t="e">
        <f>AND(Лист1!B35,"AAAAAG/m/1Y=")</f>
        <v>#VALUE!</v>
      </c>
      <c r="CJ2" t="e">
        <f>AND(Лист1!C35,"AAAAAG/m/1c=")</f>
        <v>#VALUE!</v>
      </c>
      <c r="CK2" t="e">
        <f>AND(Лист1!D35,"AAAAAG/m/1g=")</f>
        <v>#VALUE!</v>
      </c>
      <c r="CL2" t="e">
        <f>AND(Лист1!E35,"AAAAAG/m/1k=")</f>
        <v>#VALUE!</v>
      </c>
      <c r="CM2" t="e">
        <f>AND(Лист1!F35,"AAAAAG/m/1o=")</f>
        <v>#VALUE!</v>
      </c>
      <c r="CN2" t="e">
        <f>AND(Лист1!G35,"AAAAAG/m/1s=")</f>
        <v>#VALUE!</v>
      </c>
      <c r="CO2" t="e">
        <f>AND(Лист1!H35,"AAAAAG/m/1w=")</f>
        <v>#VALUE!</v>
      </c>
      <c r="CP2" t="e">
        <f>AND(Лист1!I35,"AAAAAG/m/10=")</f>
        <v>#VALUE!</v>
      </c>
      <c r="CQ2">
        <f>IF(Лист1!36:36,"AAAAAG/m/14=",0)</f>
        <v>0</v>
      </c>
      <c r="CR2" t="e">
        <f>AND(Лист1!A36,"AAAAAG/m/18=")</f>
        <v>#VALUE!</v>
      </c>
      <c r="CS2" t="e">
        <f>AND(Лист1!B36,"AAAAAG/m/2A=")</f>
        <v>#VALUE!</v>
      </c>
      <c r="CT2" t="e">
        <f>AND(Лист1!C36,"AAAAAG/m/2E=")</f>
        <v>#VALUE!</v>
      </c>
      <c r="CU2" t="e">
        <f>AND(Лист1!D36,"AAAAAG/m/2I=")</f>
        <v>#VALUE!</v>
      </c>
      <c r="CV2" t="e">
        <f>AND(Лист1!E36,"AAAAAG/m/2M=")</f>
        <v>#VALUE!</v>
      </c>
      <c r="CW2" t="e">
        <f>AND(Лист1!F36,"AAAAAG/m/2Q=")</f>
        <v>#VALUE!</v>
      </c>
      <c r="CX2" t="e">
        <f>AND(Лист1!G36,"AAAAAG/m/2U=")</f>
        <v>#VALUE!</v>
      </c>
      <c r="CY2" t="e">
        <f>AND(Лист1!H36,"AAAAAG/m/2Y=")</f>
        <v>#VALUE!</v>
      </c>
      <c r="CZ2" t="e">
        <f>AND(Лист1!I36,"AAAAAG/m/2c=")</f>
        <v>#VALUE!</v>
      </c>
      <c r="DA2">
        <f>IF(Лист1!37:37,"AAAAAG/m/2g=",0)</f>
        <v>0</v>
      </c>
      <c r="DB2" t="e">
        <f>AND(Лист1!A37,"AAAAAG/m/2k=")</f>
        <v>#VALUE!</v>
      </c>
      <c r="DC2" t="e">
        <f>AND(Лист1!B37,"AAAAAG/m/2o=")</f>
        <v>#VALUE!</v>
      </c>
      <c r="DD2" t="e">
        <f>AND(Лист1!C37,"AAAAAG/m/2s=")</f>
        <v>#VALUE!</v>
      </c>
      <c r="DE2" t="e">
        <f>AND(Лист1!D37,"AAAAAG/m/2w=")</f>
        <v>#VALUE!</v>
      </c>
      <c r="DF2" t="e">
        <f>AND(Лист1!E37,"AAAAAG/m/20=")</f>
        <v>#VALUE!</v>
      </c>
      <c r="DG2" t="e">
        <f>AND(Лист1!F37,"AAAAAG/m/24=")</f>
        <v>#VALUE!</v>
      </c>
      <c r="DH2" t="e">
        <f>AND(Лист1!G37,"AAAAAG/m/28=")</f>
        <v>#VALUE!</v>
      </c>
      <c r="DI2" t="e">
        <f>AND(Лист1!H37,"AAAAAG/m/3A=")</f>
        <v>#VALUE!</v>
      </c>
      <c r="DJ2" t="e">
        <f>AND(Лист1!I37,"AAAAAG/m/3E=")</f>
        <v>#VALUE!</v>
      </c>
      <c r="DK2">
        <f>IF(Лист1!38:38,"AAAAAG/m/3I=",0)</f>
        <v>0</v>
      </c>
      <c r="DL2" t="e">
        <f>AND(Лист1!A38,"AAAAAG/m/3M=")</f>
        <v>#VALUE!</v>
      </c>
      <c r="DM2" t="e">
        <f>AND(Лист1!B38,"AAAAAG/m/3Q=")</f>
        <v>#VALUE!</v>
      </c>
      <c r="DN2" t="e">
        <f>AND(Лист1!C38,"AAAAAG/m/3U=")</f>
        <v>#VALUE!</v>
      </c>
      <c r="DO2" t="e">
        <f>AND(Лист1!D38,"AAAAAG/m/3Y=")</f>
        <v>#VALUE!</v>
      </c>
      <c r="DP2" t="e">
        <f>AND(Лист1!E38,"AAAAAG/m/3c=")</f>
        <v>#VALUE!</v>
      </c>
      <c r="DQ2" t="e">
        <f>AND(Лист1!F38,"AAAAAG/m/3g=")</f>
        <v>#VALUE!</v>
      </c>
      <c r="DR2" t="e">
        <f>AND(Лист1!G38,"AAAAAG/m/3k=")</f>
        <v>#VALUE!</v>
      </c>
      <c r="DS2" t="e">
        <f>AND(Лист1!H38,"AAAAAG/m/3o=")</f>
        <v>#VALUE!</v>
      </c>
      <c r="DT2" t="e">
        <f>AND(Лист1!I38,"AAAAAG/m/3s=")</f>
        <v>#VALUE!</v>
      </c>
      <c r="DU2">
        <f>IF(Лист1!39:39,"AAAAAG/m/3w=",0)</f>
        <v>0</v>
      </c>
      <c r="DV2" t="e">
        <f>AND(Лист1!A39,"AAAAAG/m/30=")</f>
        <v>#VALUE!</v>
      </c>
      <c r="DW2" t="e">
        <f>AND(Лист1!B39,"AAAAAG/m/34=")</f>
        <v>#VALUE!</v>
      </c>
      <c r="DX2" t="e">
        <f>AND(Лист1!C39,"AAAAAG/m/38=")</f>
        <v>#VALUE!</v>
      </c>
      <c r="DY2" t="e">
        <f>AND(Лист1!D39,"AAAAAG/m/4A=")</f>
        <v>#VALUE!</v>
      </c>
      <c r="DZ2" t="e">
        <f>AND(Лист1!E39,"AAAAAG/m/4E=")</f>
        <v>#VALUE!</v>
      </c>
      <c r="EA2" t="e">
        <f>AND(Лист1!F39,"AAAAAG/m/4I=")</f>
        <v>#VALUE!</v>
      </c>
      <c r="EB2" t="e">
        <f>AND(Лист1!G39,"AAAAAG/m/4M=")</f>
        <v>#VALUE!</v>
      </c>
      <c r="EC2" t="e">
        <f>AND(Лист1!H39,"AAAAAG/m/4Q=")</f>
        <v>#VALUE!</v>
      </c>
      <c r="ED2" t="e">
        <f>AND(Лист1!I39,"AAAAAG/m/4U=")</f>
        <v>#VALUE!</v>
      </c>
      <c r="EE2">
        <f>IF(Лист1!40:40,"AAAAAG/m/4Y=",0)</f>
        <v>0</v>
      </c>
      <c r="EF2" t="e">
        <f>AND(Лист1!A40,"AAAAAG/m/4c=")</f>
        <v>#VALUE!</v>
      </c>
      <c r="EG2" t="e">
        <f>AND(Лист1!B40,"AAAAAG/m/4g=")</f>
        <v>#VALUE!</v>
      </c>
      <c r="EH2" t="e">
        <f>AND(Лист1!C40,"AAAAAG/m/4k=")</f>
        <v>#VALUE!</v>
      </c>
      <c r="EI2" t="e">
        <f>AND(Лист1!D40,"AAAAAG/m/4o=")</f>
        <v>#VALUE!</v>
      </c>
      <c r="EJ2" t="e">
        <f>AND(Лист1!E40,"AAAAAG/m/4s=")</f>
        <v>#VALUE!</v>
      </c>
      <c r="EK2" t="e">
        <f>AND(Лист1!F40,"AAAAAG/m/4w=")</f>
        <v>#VALUE!</v>
      </c>
      <c r="EL2" t="e">
        <f>AND(Лист1!G40,"AAAAAG/m/40=")</f>
        <v>#VALUE!</v>
      </c>
      <c r="EM2" t="e">
        <f>AND(Лист1!H40,"AAAAAG/m/44=")</f>
        <v>#VALUE!</v>
      </c>
      <c r="EN2" t="e">
        <f>AND(Лист1!I40,"AAAAAG/m/48=")</f>
        <v>#VALUE!</v>
      </c>
      <c r="EO2">
        <f>IF(Лист1!41:41,"AAAAAG/m/5A=",0)</f>
        <v>0</v>
      </c>
      <c r="EP2" t="e">
        <f>AND(Лист1!A41,"AAAAAG/m/5E=")</f>
        <v>#VALUE!</v>
      </c>
      <c r="EQ2" t="e">
        <f>AND(Лист1!B41,"AAAAAG/m/5I=")</f>
        <v>#VALUE!</v>
      </c>
      <c r="ER2" t="e">
        <f>AND(Лист1!C41,"AAAAAG/m/5M=")</f>
        <v>#VALUE!</v>
      </c>
      <c r="ES2" t="e">
        <f>AND(Лист1!D41,"AAAAAG/m/5Q=")</f>
        <v>#VALUE!</v>
      </c>
      <c r="ET2" t="e">
        <f>AND(Лист1!E41,"AAAAAG/m/5U=")</f>
        <v>#VALUE!</v>
      </c>
      <c r="EU2" t="e">
        <f>AND(Лист1!F41,"AAAAAG/m/5Y=")</f>
        <v>#VALUE!</v>
      </c>
      <c r="EV2" t="e">
        <f>AND(Лист1!G41,"AAAAAG/m/5c=")</f>
        <v>#VALUE!</v>
      </c>
      <c r="EW2" t="e">
        <f>AND(Лист1!H41,"AAAAAG/m/5g=")</f>
        <v>#VALUE!</v>
      </c>
      <c r="EX2" t="e">
        <f>AND(Лист1!I41,"AAAAAG/m/5k=")</f>
        <v>#VALUE!</v>
      </c>
      <c r="EY2">
        <f>IF(Лист1!42:42,"AAAAAG/m/5o=",0)</f>
        <v>0</v>
      </c>
      <c r="EZ2" t="e">
        <f>AND(Лист1!A42,"AAAAAG/m/5s=")</f>
        <v>#VALUE!</v>
      </c>
      <c r="FA2" t="e">
        <f>AND(Лист1!B42,"AAAAAG/m/5w=")</f>
        <v>#VALUE!</v>
      </c>
      <c r="FB2" t="e">
        <f>AND(Лист1!C42,"AAAAAG/m/50=")</f>
        <v>#VALUE!</v>
      </c>
      <c r="FC2" t="e">
        <f>AND(Лист1!D42,"AAAAAG/m/54=")</f>
        <v>#VALUE!</v>
      </c>
      <c r="FD2" t="e">
        <f>AND(Лист1!E42,"AAAAAG/m/58=")</f>
        <v>#VALUE!</v>
      </c>
      <c r="FE2" t="e">
        <f>AND(Лист1!F42,"AAAAAG/m/6A=")</f>
        <v>#VALUE!</v>
      </c>
      <c r="FF2" t="e">
        <f>AND(Лист1!G42,"AAAAAG/m/6E=")</f>
        <v>#VALUE!</v>
      </c>
      <c r="FG2" t="e">
        <f>AND(Лист1!H42,"AAAAAG/m/6I=")</f>
        <v>#VALUE!</v>
      </c>
      <c r="FH2" t="e">
        <f>AND(Лист1!I42,"AAAAAG/m/6M=")</f>
        <v>#VALUE!</v>
      </c>
      <c r="FI2">
        <f>IF(Лист1!43:43,"AAAAAG/m/6Q=",0)</f>
        <v>0</v>
      </c>
      <c r="FJ2" t="e">
        <f>AND(Лист1!A43,"AAAAAG/m/6U=")</f>
        <v>#VALUE!</v>
      </c>
      <c r="FK2" t="e">
        <f>AND(Лист1!B43,"AAAAAG/m/6Y=")</f>
        <v>#VALUE!</v>
      </c>
      <c r="FL2" t="e">
        <f>AND(Лист1!C43,"AAAAAG/m/6c=")</f>
        <v>#VALUE!</v>
      </c>
      <c r="FM2" t="e">
        <f>AND(Лист1!D43,"AAAAAG/m/6g=")</f>
        <v>#VALUE!</v>
      </c>
      <c r="FN2" t="e">
        <f>AND(Лист1!E43,"AAAAAG/m/6k=")</f>
        <v>#VALUE!</v>
      </c>
      <c r="FO2" t="e">
        <f>AND(Лист1!F43,"AAAAAG/m/6o=")</f>
        <v>#VALUE!</v>
      </c>
      <c r="FP2" t="e">
        <f>AND(Лист1!G43,"AAAAAG/m/6s=")</f>
        <v>#VALUE!</v>
      </c>
      <c r="FQ2" t="e">
        <f>AND(Лист1!H43,"AAAAAG/m/6w=")</f>
        <v>#VALUE!</v>
      </c>
      <c r="FR2" t="e">
        <f>AND(Лист1!I43,"AAAAAG/m/60=")</f>
        <v>#VALUE!</v>
      </c>
      <c r="FS2">
        <f>IF(Лист1!44:44,"AAAAAG/m/64=",0)</f>
        <v>0</v>
      </c>
      <c r="FT2" t="e">
        <f>AND(Лист1!A44,"AAAAAG/m/68=")</f>
        <v>#VALUE!</v>
      </c>
      <c r="FU2" t="e">
        <f>AND(Лист1!B44,"AAAAAG/m/7A=")</f>
        <v>#VALUE!</v>
      </c>
      <c r="FV2" t="e">
        <f>AND(Лист1!C44,"AAAAAG/m/7E=")</f>
        <v>#VALUE!</v>
      </c>
      <c r="FW2" t="e">
        <f>AND(Лист1!D44,"AAAAAG/m/7I=")</f>
        <v>#VALUE!</v>
      </c>
      <c r="FX2" t="e">
        <f>AND(Лист1!E44,"AAAAAG/m/7M=")</f>
        <v>#VALUE!</v>
      </c>
      <c r="FY2" t="e">
        <f>AND(Лист1!F44,"AAAAAG/m/7Q=")</f>
        <v>#VALUE!</v>
      </c>
      <c r="FZ2" t="e">
        <f>AND(Лист1!G44,"AAAAAG/m/7U=")</f>
        <v>#VALUE!</v>
      </c>
      <c r="GA2" t="e">
        <f>AND(Лист1!H44,"AAAAAG/m/7Y=")</f>
        <v>#VALUE!</v>
      </c>
      <c r="GB2" t="e">
        <f>AND(Лист1!I44,"AAAAAG/m/7c=")</f>
        <v>#VALUE!</v>
      </c>
      <c r="GC2">
        <f>IF(Лист1!45:45,"AAAAAG/m/7g=",0)</f>
        <v>0</v>
      </c>
      <c r="GD2" t="e">
        <f>AND(Лист1!A45,"AAAAAG/m/7k=")</f>
        <v>#VALUE!</v>
      </c>
      <c r="GE2" t="e">
        <f>AND(Лист1!B45,"AAAAAG/m/7o=")</f>
        <v>#VALUE!</v>
      </c>
      <c r="GF2" t="e">
        <f>AND(Лист1!C45,"AAAAAG/m/7s=")</f>
        <v>#VALUE!</v>
      </c>
      <c r="GG2" t="e">
        <f>AND(Лист1!D45,"AAAAAG/m/7w=")</f>
        <v>#VALUE!</v>
      </c>
      <c r="GH2" t="e">
        <f>AND(Лист1!E45,"AAAAAG/m/70=")</f>
        <v>#VALUE!</v>
      </c>
      <c r="GI2" t="e">
        <f>AND(Лист1!F45,"AAAAAG/m/74=")</f>
        <v>#VALUE!</v>
      </c>
      <c r="GJ2" t="e">
        <f>AND(Лист1!G45,"AAAAAG/m/78=")</f>
        <v>#VALUE!</v>
      </c>
      <c r="GK2" t="e">
        <f>AND(Лист1!H45,"AAAAAG/m/8A=")</f>
        <v>#VALUE!</v>
      </c>
      <c r="GL2" t="e">
        <f>AND(Лист1!I45,"AAAAAG/m/8E=")</f>
        <v>#VALUE!</v>
      </c>
      <c r="GM2">
        <f>IF(Лист1!46:46,"AAAAAG/m/8I=",0)</f>
        <v>0</v>
      </c>
      <c r="GN2" t="e">
        <f>AND(Лист1!A46,"AAAAAG/m/8M=")</f>
        <v>#VALUE!</v>
      </c>
      <c r="GO2" t="e">
        <f>AND(Лист1!B46,"AAAAAG/m/8Q=")</f>
        <v>#VALUE!</v>
      </c>
      <c r="GP2" t="e">
        <f>AND(Лист1!C46,"AAAAAG/m/8U=")</f>
        <v>#VALUE!</v>
      </c>
      <c r="GQ2" t="e">
        <f>AND(Лист1!D46,"AAAAAG/m/8Y=")</f>
        <v>#VALUE!</v>
      </c>
      <c r="GR2" t="e">
        <f>AND(Лист1!E46,"AAAAAG/m/8c=")</f>
        <v>#VALUE!</v>
      </c>
      <c r="GS2" t="e">
        <f>AND(Лист1!F46,"AAAAAG/m/8g=")</f>
        <v>#VALUE!</v>
      </c>
      <c r="GT2" t="e">
        <f>AND(Лист1!G46,"AAAAAG/m/8k=")</f>
        <v>#VALUE!</v>
      </c>
      <c r="GU2" t="e">
        <f>AND(Лист1!H46,"AAAAAG/m/8o=")</f>
        <v>#VALUE!</v>
      </c>
      <c r="GV2" t="e">
        <f>AND(Лист1!I46,"AAAAAG/m/8s=")</f>
        <v>#VALUE!</v>
      </c>
      <c r="GW2">
        <f>IF(Лист1!47:47,"AAAAAG/m/8w=",0)</f>
        <v>0</v>
      </c>
      <c r="GX2" t="e">
        <f>AND(Лист1!A47,"AAAAAG/m/80=")</f>
        <v>#VALUE!</v>
      </c>
      <c r="GY2" t="e">
        <f>AND(Лист1!B47,"AAAAAG/m/84=")</f>
        <v>#VALUE!</v>
      </c>
      <c r="GZ2" t="e">
        <f>AND(Лист1!C47,"AAAAAG/m/88=")</f>
        <v>#VALUE!</v>
      </c>
      <c r="HA2" t="e">
        <f>AND(Лист1!D47,"AAAAAG/m/9A=")</f>
        <v>#VALUE!</v>
      </c>
      <c r="HB2" t="e">
        <f>AND(Лист1!E47,"AAAAAG/m/9E=")</f>
        <v>#VALUE!</v>
      </c>
      <c r="HC2" t="e">
        <f>AND(Лист1!F47,"AAAAAG/m/9I=")</f>
        <v>#VALUE!</v>
      </c>
      <c r="HD2" t="e">
        <f>AND(Лист1!G47,"AAAAAG/m/9M=")</f>
        <v>#VALUE!</v>
      </c>
      <c r="HE2" t="e">
        <f>AND(Лист1!H47,"AAAAAG/m/9Q=")</f>
        <v>#VALUE!</v>
      </c>
      <c r="HF2" t="e">
        <f>AND(Лист1!I47,"AAAAAG/m/9U=")</f>
        <v>#VALUE!</v>
      </c>
      <c r="HG2">
        <f>IF(Лист1!48:48,"AAAAAG/m/9Y=",0)</f>
        <v>0</v>
      </c>
      <c r="HH2" t="e">
        <f>AND(Лист1!A48,"AAAAAG/m/9c=")</f>
        <v>#VALUE!</v>
      </c>
      <c r="HI2" t="e">
        <f>AND(Лист1!B48,"AAAAAG/m/9g=")</f>
        <v>#VALUE!</v>
      </c>
      <c r="HJ2" t="e">
        <f>AND(Лист1!C48,"AAAAAG/m/9k=")</f>
        <v>#VALUE!</v>
      </c>
      <c r="HK2" t="e">
        <f>AND(Лист1!D48,"AAAAAG/m/9o=")</f>
        <v>#VALUE!</v>
      </c>
      <c r="HL2" t="e">
        <f>AND(Лист1!E48,"AAAAAG/m/9s=")</f>
        <v>#VALUE!</v>
      </c>
      <c r="HM2" t="e">
        <f>AND(Лист1!F48,"AAAAAG/m/9w=")</f>
        <v>#VALUE!</v>
      </c>
      <c r="HN2" t="e">
        <f>AND(Лист1!G48,"AAAAAG/m/90=")</f>
        <v>#VALUE!</v>
      </c>
      <c r="HO2" t="e">
        <f>AND(Лист1!H48,"AAAAAG/m/94=")</f>
        <v>#VALUE!</v>
      </c>
      <c r="HP2" t="e">
        <f>AND(Лист1!I48,"AAAAAG/m/98=")</f>
        <v>#VALUE!</v>
      </c>
      <c r="HQ2">
        <f>IF(Лист1!49:49,"AAAAAG/m/+A=",0)</f>
        <v>0</v>
      </c>
      <c r="HR2" t="e">
        <f>AND(Лист1!A49,"AAAAAG/m/+E=")</f>
        <v>#VALUE!</v>
      </c>
      <c r="HS2" t="e">
        <f>AND(Лист1!B49,"AAAAAG/m/+I=")</f>
        <v>#VALUE!</v>
      </c>
      <c r="HT2" t="e">
        <f>AND(Лист1!C49,"AAAAAG/m/+M=")</f>
        <v>#VALUE!</v>
      </c>
      <c r="HU2" t="e">
        <f>AND(Лист1!D49,"AAAAAG/m/+Q=")</f>
        <v>#VALUE!</v>
      </c>
      <c r="HV2" t="e">
        <f>AND(Лист1!E49,"AAAAAG/m/+U=")</f>
        <v>#VALUE!</v>
      </c>
      <c r="HW2" t="e">
        <f>AND(Лист1!F49,"AAAAAG/m/+Y=")</f>
        <v>#VALUE!</v>
      </c>
      <c r="HX2" t="e">
        <f>AND(Лист1!G49,"AAAAAG/m/+c=")</f>
        <v>#VALUE!</v>
      </c>
      <c r="HY2" t="e">
        <f>AND(Лист1!H49,"AAAAAG/m/+g=")</f>
        <v>#VALUE!</v>
      </c>
      <c r="HZ2" t="e">
        <f>AND(Лист1!I49,"AAAAAG/m/+k=")</f>
        <v>#VALUE!</v>
      </c>
      <c r="IA2">
        <f>IF(Лист1!50:50,"AAAAAG/m/+o=",0)</f>
        <v>0</v>
      </c>
      <c r="IB2" t="e">
        <f>AND(Лист1!A50,"AAAAAG/m/+s=")</f>
        <v>#VALUE!</v>
      </c>
      <c r="IC2" t="e">
        <f>AND(Лист1!B50,"AAAAAG/m/+w=")</f>
        <v>#VALUE!</v>
      </c>
      <c r="ID2" t="e">
        <f>AND(Лист1!C50,"AAAAAG/m/+0=")</f>
        <v>#VALUE!</v>
      </c>
      <c r="IE2" t="e">
        <f>AND(Лист1!D50,"AAAAAG/m/+4=")</f>
        <v>#VALUE!</v>
      </c>
      <c r="IF2" t="e">
        <f>AND(Лист1!E50,"AAAAAG/m/+8=")</f>
        <v>#VALUE!</v>
      </c>
      <c r="IG2" t="e">
        <f>AND(Лист1!F50,"AAAAAG/m//A=")</f>
        <v>#VALUE!</v>
      </c>
      <c r="IH2" t="e">
        <f>AND(Лист1!G50,"AAAAAG/m//E=")</f>
        <v>#VALUE!</v>
      </c>
      <c r="II2" t="e">
        <f>AND(Лист1!H50,"AAAAAG/m//I=")</f>
        <v>#VALUE!</v>
      </c>
      <c r="IJ2" t="e">
        <f>AND(Лист1!I50,"AAAAAG/m//M=")</f>
        <v>#VALUE!</v>
      </c>
      <c r="IK2">
        <f>IF(Лист1!51:51,"AAAAAG/m//Q=",0)</f>
        <v>0</v>
      </c>
      <c r="IL2" t="e">
        <f>AND(Лист1!A51,"AAAAAG/m//U=")</f>
        <v>#VALUE!</v>
      </c>
      <c r="IM2" t="e">
        <f>AND(Лист1!B51,"AAAAAG/m//Y=")</f>
        <v>#VALUE!</v>
      </c>
      <c r="IN2" t="e">
        <f>AND(Лист1!C51,"AAAAAG/m//c=")</f>
        <v>#VALUE!</v>
      </c>
      <c r="IO2" t="e">
        <f>AND(Лист1!D51,"AAAAAG/m//g=")</f>
        <v>#VALUE!</v>
      </c>
      <c r="IP2" t="e">
        <f>AND(Лист1!E51,"AAAAAG/m//k=")</f>
        <v>#VALUE!</v>
      </c>
      <c r="IQ2" t="e">
        <f>AND(Лист1!F51,"AAAAAG/m//o=")</f>
        <v>#VALUE!</v>
      </c>
      <c r="IR2" t="e">
        <f>AND(Лист1!G51,"AAAAAG/m//s=")</f>
        <v>#VALUE!</v>
      </c>
      <c r="IS2" t="e">
        <f>AND(Лист1!H51,"AAAAAG/m//w=")</f>
        <v>#VALUE!</v>
      </c>
      <c r="IT2" t="e">
        <f>AND(Лист1!I51,"AAAAAG/m//0=")</f>
        <v>#VALUE!</v>
      </c>
      <c r="IU2">
        <f>IF(Лист1!52:52,"AAAAAG/m//4=",0)</f>
        <v>0</v>
      </c>
      <c r="IV2" t="e">
        <f>AND(Лист1!A52,"AAAAAG/m//8=")</f>
        <v>#VALUE!</v>
      </c>
    </row>
    <row r="3" spans="1:256" ht="12.75">
      <c r="A3" t="e">
        <f>AND(Лист1!B52,"AAAAAB99ewA=")</f>
        <v>#VALUE!</v>
      </c>
      <c r="B3" t="e">
        <f>AND(Лист1!C52,"AAAAAB99ewE=")</f>
        <v>#VALUE!</v>
      </c>
      <c r="C3" t="e">
        <f>AND(Лист1!D52,"AAAAAB99ewI=")</f>
        <v>#VALUE!</v>
      </c>
      <c r="D3" t="e">
        <f>AND(Лист1!E52,"AAAAAB99ewM=")</f>
        <v>#VALUE!</v>
      </c>
      <c r="E3" t="e">
        <f>AND(Лист1!F52,"AAAAAB99ewQ=")</f>
        <v>#VALUE!</v>
      </c>
      <c r="F3" t="e">
        <f>AND(Лист1!G52,"AAAAAB99ewU=")</f>
        <v>#VALUE!</v>
      </c>
      <c r="G3" t="e">
        <f>AND(Лист1!H52,"AAAAAB99ewY=")</f>
        <v>#VALUE!</v>
      </c>
      <c r="H3" t="e">
        <f>AND(Лист1!I52,"AAAAAB99ewc=")</f>
        <v>#VALUE!</v>
      </c>
      <c r="I3">
        <f>IF(Лист1!53:53,"AAAAAB99ewg=",0)</f>
        <v>0</v>
      </c>
      <c r="J3" t="e">
        <f>AND(Лист1!A53,"AAAAAB99ewk=")</f>
        <v>#VALUE!</v>
      </c>
      <c r="K3" t="e">
        <f>AND(Лист1!B53,"AAAAAB99ewo=")</f>
        <v>#VALUE!</v>
      </c>
      <c r="L3" t="e">
        <f>AND(Лист1!C53,"AAAAAB99ews=")</f>
        <v>#VALUE!</v>
      </c>
      <c r="M3" t="e">
        <f>AND(Лист1!D53,"AAAAAB99eww=")</f>
        <v>#VALUE!</v>
      </c>
      <c r="N3" t="e">
        <f>AND(Лист1!E53,"AAAAAB99ew0=")</f>
        <v>#VALUE!</v>
      </c>
      <c r="O3" t="e">
        <f>AND(Лист1!F53,"AAAAAB99ew4=")</f>
        <v>#VALUE!</v>
      </c>
      <c r="P3" t="e">
        <f>AND(Лист1!G53,"AAAAAB99ew8=")</f>
        <v>#VALUE!</v>
      </c>
      <c r="Q3" t="e">
        <f>AND(Лист1!H53,"AAAAAB99exA=")</f>
        <v>#VALUE!</v>
      </c>
      <c r="R3" t="e">
        <f>AND(Лист1!I53,"AAAAAB99exE=")</f>
        <v>#VALUE!</v>
      </c>
      <c r="S3">
        <f>IF(Лист1!54:54,"AAAAAB99exI=",0)</f>
        <v>0</v>
      </c>
      <c r="T3" t="e">
        <f>AND(Лист1!A54,"AAAAAB99exM=")</f>
        <v>#VALUE!</v>
      </c>
      <c r="U3" t="e">
        <f>AND(Лист1!B54,"AAAAAB99exQ=")</f>
        <v>#VALUE!</v>
      </c>
      <c r="V3" t="e">
        <f>AND(Лист1!C54,"AAAAAB99exU=")</f>
        <v>#VALUE!</v>
      </c>
      <c r="W3" t="e">
        <f>AND(Лист1!D54,"AAAAAB99exY=")</f>
        <v>#VALUE!</v>
      </c>
      <c r="X3" t="e">
        <f>AND(Лист1!E54,"AAAAAB99exc=")</f>
        <v>#VALUE!</v>
      </c>
      <c r="Y3" t="e">
        <f>AND(Лист1!F54,"AAAAAB99exg=")</f>
        <v>#VALUE!</v>
      </c>
      <c r="Z3" t="e">
        <f>AND(Лист1!G54,"AAAAAB99exk=")</f>
        <v>#VALUE!</v>
      </c>
      <c r="AA3" t="e">
        <f>AND(Лист1!H54,"AAAAAB99exo=")</f>
        <v>#VALUE!</v>
      </c>
      <c r="AB3" t="e">
        <f>AND(Лист1!I54,"AAAAAB99exs=")</f>
        <v>#VALUE!</v>
      </c>
      <c r="AC3">
        <f>IF(Лист1!55:55,"AAAAAB99exw=",0)</f>
        <v>0</v>
      </c>
      <c r="AD3" t="e">
        <f>AND(Лист1!A55,"AAAAAB99ex0=")</f>
        <v>#VALUE!</v>
      </c>
      <c r="AE3" t="e">
        <f>AND(Лист1!B55,"AAAAAB99ex4=")</f>
        <v>#VALUE!</v>
      </c>
      <c r="AF3" t="e">
        <f>AND(Лист1!C55,"AAAAAB99ex8=")</f>
        <v>#VALUE!</v>
      </c>
      <c r="AG3" t="e">
        <f>AND(Лист1!D55,"AAAAAB99eyA=")</f>
        <v>#VALUE!</v>
      </c>
      <c r="AH3" t="e">
        <f>AND(Лист1!E55,"AAAAAB99eyE=")</f>
        <v>#VALUE!</v>
      </c>
      <c r="AI3" t="e">
        <f>AND(Лист1!F55,"AAAAAB99eyI=")</f>
        <v>#VALUE!</v>
      </c>
      <c r="AJ3" t="e">
        <f>AND(Лист1!G55,"AAAAAB99eyM=")</f>
        <v>#VALUE!</v>
      </c>
      <c r="AK3" t="e">
        <f>AND(Лист1!H55,"AAAAAB99eyQ=")</f>
        <v>#VALUE!</v>
      </c>
      <c r="AL3" t="e">
        <f>AND(Лист1!I55,"AAAAAB99eyU=")</f>
        <v>#VALUE!</v>
      </c>
      <c r="AM3">
        <f>IF(Лист1!56:56,"AAAAAB99eyY=",0)</f>
        <v>0</v>
      </c>
      <c r="AN3" t="e">
        <f>AND(Лист1!A56,"AAAAAB99eyc=")</f>
        <v>#VALUE!</v>
      </c>
      <c r="AO3" t="e">
        <f>AND(Лист1!B56,"AAAAAB99eyg=")</f>
        <v>#VALUE!</v>
      </c>
      <c r="AP3" t="e">
        <f>AND(Лист1!C56,"AAAAAB99eyk=")</f>
        <v>#VALUE!</v>
      </c>
      <c r="AQ3" t="e">
        <f>AND(Лист1!D56,"AAAAAB99eyo=")</f>
        <v>#VALUE!</v>
      </c>
      <c r="AR3" t="e">
        <f>AND(Лист1!E56,"AAAAAB99eys=")</f>
        <v>#VALUE!</v>
      </c>
      <c r="AS3" t="e">
        <f>AND(Лист1!F56,"AAAAAB99eyw=")</f>
        <v>#VALUE!</v>
      </c>
      <c r="AT3" t="e">
        <f>AND(Лист1!G56,"AAAAAB99ey0=")</f>
        <v>#VALUE!</v>
      </c>
      <c r="AU3" t="e">
        <f>AND(Лист1!H56,"AAAAAB99ey4=")</f>
        <v>#VALUE!</v>
      </c>
      <c r="AV3" t="e">
        <f>AND(Лист1!I56,"AAAAAB99ey8=")</f>
        <v>#VALUE!</v>
      </c>
      <c r="AW3">
        <f>IF(Лист1!57:57,"AAAAAB99ezA=",0)</f>
        <v>0</v>
      </c>
      <c r="AX3" t="e">
        <f>AND(Лист1!A57,"AAAAAB99ezE=")</f>
        <v>#VALUE!</v>
      </c>
      <c r="AY3" t="e">
        <f>AND(Лист1!B57,"AAAAAB99ezI=")</f>
        <v>#VALUE!</v>
      </c>
      <c r="AZ3" t="e">
        <f>AND(Лист1!C57,"AAAAAB99ezM=")</f>
        <v>#VALUE!</v>
      </c>
      <c r="BA3" t="e">
        <f>AND(Лист1!D57,"AAAAAB99ezQ=")</f>
        <v>#VALUE!</v>
      </c>
      <c r="BB3" t="e">
        <f>AND(Лист1!E57,"AAAAAB99ezU=")</f>
        <v>#VALUE!</v>
      </c>
      <c r="BC3" t="e">
        <f>AND(Лист1!F57,"AAAAAB99ezY=")</f>
        <v>#VALUE!</v>
      </c>
      <c r="BD3" t="e">
        <f>AND(Лист1!G57,"AAAAAB99ezc=")</f>
        <v>#VALUE!</v>
      </c>
      <c r="BE3" t="e">
        <f>AND(Лист1!H57,"AAAAAB99ezg=")</f>
        <v>#VALUE!</v>
      </c>
      <c r="BF3" t="e">
        <f>AND(Лист1!I57,"AAAAAB99ezk=")</f>
        <v>#VALUE!</v>
      </c>
      <c r="BG3">
        <f>IF(Лист1!58:58,"AAAAAB99ezo=",0)</f>
        <v>0</v>
      </c>
      <c r="BH3" t="e">
        <f>AND(Лист1!A58,"AAAAAB99ezs=")</f>
        <v>#VALUE!</v>
      </c>
      <c r="BI3" t="e">
        <f>AND(Лист1!B58,"AAAAAB99ezw=")</f>
        <v>#VALUE!</v>
      </c>
      <c r="BJ3" t="e">
        <f>AND(Лист1!C58,"AAAAAB99ez0=")</f>
        <v>#VALUE!</v>
      </c>
      <c r="BK3" t="e">
        <f>AND(Лист1!D58,"AAAAAB99ez4=")</f>
        <v>#VALUE!</v>
      </c>
      <c r="BL3" t="e">
        <f>AND(Лист1!E58,"AAAAAB99ez8=")</f>
        <v>#VALUE!</v>
      </c>
      <c r="BM3" t="e">
        <f>AND(Лист1!F58,"AAAAAB99e0A=")</f>
        <v>#VALUE!</v>
      </c>
      <c r="BN3" t="e">
        <f>AND(Лист1!G58,"AAAAAB99e0E=")</f>
        <v>#VALUE!</v>
      </c>
      <c r="BO3" t="e">
        <f>AND(Лист1!H58,"AAAAAB99e0I=")</f>
        <v>#VALUE!</v>
      </c>
      <c r="BP3" t="e">
        <f>AND(Лист1!I58,"AAAAAB99e0M=")</f>
        <v>#VALUE!</v>
      </c>
      <c r="BQ3">
        <f>IF(Лист1!59:59,"AAAAAB99e0Q=",0)</f>
        <v>0</v>
      </c>
      <c r="BR3" t="e">
        <f>AND(Лист1!A59,"AAAAAB99e0U=")</f>
        <v>#VALUE!</v>
      </c>
      <c r="BS3" t="e">
        <f>AND(Лист1!B59,"AAAAAB99e0Y=")</f>
        <v>#VALUE!</v>
      </c>
      <c r="BT3" t="e">
        <f>AND(Лист1!C59,"AAAAAB99e0c=")</f>
        <v>#VALUE!</v>
      </c>
      <c r="BU3" t="e">
        <f>AND(Лист1!D59,"AAAAAB99e0g=")</f>
        <v>#VALUE!</v>
      </c>
      <c r="BV3" t="e">
        <f>AND(Лист1!E59,"AAAAAB99e0k=")</f>
        <v>#VALUE!</v>
      </c>
      <c r="BW3" t="e">
        <f>AND(Лист1!F59,"AAAAAB99e0o=")</f>
        <v>#VALUE!</v>
      </c>
      <c r="BX3" t="e">
        <f>AND(Лист1!G59,"AAAAAB99e0s=")</f>
        <v>#VALUE!</v>
      </c>
      <c r="BY3" t="e">
        <f>AND(Лист1!H59,"AAAAAB99e0w=")</f>
        <v>#VALUE!</v>
      </c>
      <c r="BZ3" t="e">
        <f>AND(Лист1!I59,"AAAAAB99e00=")</f>
        <v>#VALUE!</v>
      </c>
      <c r="CA3">
        <f>IF(Лист1!60:60,"AAAAAB99e04=",0)</f>
        <v>0</v>
      </c>
      <c r="CB3" t="e">
        <f>AND(Лист1!A60,"AAAAAB99e08=")</f>
        <v>#VALUE!</v>
      </c>
      <c r="CC3" t="e">
        <f>AND(Лист1!B60,"AAAAAB99e1A=")</f>
        <v>#VALUE!</v>
      </c>
      <c r="CD3" t="e">
        <f>AND(Лист1!C60,"AAAAAB99e1E=")</f>
        <v>#VALUE!</v>
      </c>
      <c r="CE3" t="e">
        <f>AND(Лист1!D60,"AAAAAB99e1I=")</f>
        <v>#VALUE!</v>
      </c>
      <c r="CF3" t="e">
        <f>AND(Лист1!E60,"AAAAAB99e1M=")</f>
        <v>#VALUE!</v>
      </c>
      <c r="CG3" t="e">
        <f>AND(Лист1!F60,"AAAAAB99e1Q=")</f>
        <v>#VALUE!</v>
      </c>
      <c r="CH3" t="e">
        <f>AND(Лист1!G60,"AAAAAB99e1U=")</f>
        <v>#VALUE!</v>
      </c>
      <c r="CI3" t="e">
        <f>AND(Лист1!H60,"AAAAAB99e1Y=")</f>
        <v>#VALUE!</v>
      </c>
      <c r="CJ3" t="e">
        <f>AND(Лист1!I60,"AAAAAB99e1c=")</f>
        <v>#VALUE!</v>
      </c>
      <c r="CK3">
        <f>IF(Лист1!61:61,"AAAAAB99e1g=",0)</f>
        <v>0</v>
      </c>
      <c r="CL3" t="e">
        <f>AND(Лист1!A61,"AAAAAB99e1k=")</f>
        <v>#VALUE!</v>
      </c>
      <c r="CM3" t="e">
        <f>AND(Лист1!B61,"AAAAAB99e1o=")</f>
        <v>#VALUE!</v>
      </c>
      <c r="CN3" t="e">
        <f>AND(Лист1!C61,"AAAAAB99e1s=")</f>
        <v>#VALUE!</v>
      </c>
      <c r="CO3" t="e">
        <f>AND(Лист1!D61,"AAAAAB99e1w=")</f>
        <v>#VALUE!</v>
      </c>
      <c r="CP3" t="e">
        <f>AND(Лист1!E61,"AAAAAB99e10=")</f>
        <v>#VALUE!</v>
      </c>
      <c r="CQ3" t="e">
        <f>AND(Лист1!F61,"AAAAAB99e14=")</f>
        <v>#VALUE!</v>
      </c>
      <c r="CR3" t="e">
        <f>AND(Лист1!G61,"AAAAAB99e18=")</f>
        <v>#VALUE!</v>
      </c>
      <c r="CS3" t="e">
        <f>AND(Лист1!H61,"AAAAAB99e2A=")</f>
        <v>#VALUE!</v>
      </c>
      <c r="CT3" t="e">
        <f>AND(Лист1!I61,"AAAAAB99e2E=")</f>
        <v>#VALUE!</v>
      </c>
      <c r="CU3">
        <f>IF(Лист1!62:62,"AAAAAB99e2I=",0)</f>
        <v>0</v>
      </c>
      <c r="CV3" t="e">
        <f>AND(Лист1!A62,"AAAAAB99e2M=")</f>
        <v>#VALUE!</v>
      </c>
      <c r="CW3" t="e">
        <f>AND(Лист1!B62,"AAAAAB99e2Q=")</f>
        <v>#VALUE!</v>
      </c>
      <c r="CX3" t="e">
        <f>AND(Лист1!C62,"AAAAAB99e2U=")</f>
        <v>#VALUE!</v>
      </c>
      <c r="CY3" t="e">
        <f>AND(Лист1!D62,"AAAAAB99e2Y=")</f>
        <v>#VALUE!</v>
      </c>
      <c r="CZ3" t="e">
        <f>AND(Лист1!E62,"AAAAAB99e2c=")</f>
        <v>#VALUE!</v>
      </c>
      <c r="DA3" t="e">
        <f>AND(Лист1!F62,"AAAAAB99e2g=")</f>
        <v>#VALUE!</v>
      </c>
      <c r="DB3" t="e">
        <f>AND(Лист1!G62,"AAAAAB99e2k=")</f>
        <v>#VALUE!</v>
      </c>
      <c r="DC3" t="e">
        <f>AND(Лист1!H62,"AAAAAB99e2o=")</f>
        <v>#VALUE!</v>
      </c>
      <c r="DD3" t="e">
        <f>AND(Лист1!I62,"AAAAAB99e2s=")</f>
        <v>#VALUE!</v>
      </c>
      <c r="DE3">
        <f>IF(Лист1!63:63,"AAAAAB99e2w=",0)</f>
        <v>0</v>
      </c>
      <c r="DF3" t="e">
        <f>AND(Лист1!A63,"AAAAAB99e20=")</f>
        <v>#VALUE!</v>
      </c>
      <c r="DG3" t="e">
        <f>AND(Лист1!B63,"AAAAAB99e24=")</f>
        <v>#VALUE!</v>
      </c>
      <c r="DH3" t="e">
        <f>AND(Лист1!C63,"AAAAAB99e28=")</f>
        <v>#VALUE!</v>
      </c>
      <c r="DI3" t="e">
        <f>AND(Лист1!D63,"AAAAAB99e3A=")</f>
        <v>#VALUE!</v>
      </c>
      <c r="DJ3" t="e">
        <f>AND(Лист1!E63,"AAAAAB99e3E=")</f>
        <v>#VALUE!</v>
      </c>
      <c r="DK3" t="e">
        <f>AND(Лист1!F63,"AAAAAB99e3I=")</f>
        <v>#VALUE!</v>
      </c>
      <c r="DL3" t="e">
        <f>AND(Лист1!G63,"AAAAAB99e3M=")</f>
        <v>#VALUE!</v>
      </c>
      <c r="DM3" t="e">
        <f>AND(Лист1!H63,"AAAAAB99e3Q=")</f>
        <v>#VALUE!</v>
      </c>
      <c r="DN3" t="e">
        <f>AND(Лист1!I63,"AAAAAB99e3U=")</f>
        <v>#VALUE!</v>
      </c>
      <c r="DO3">
        <f>IF(Лист1!64:64,"AAAAAB99e3Y=",0)</f>
        <v>0</v>
      </c>
      <c r="DP3" t="e">
        <f>AND(Лист1!A64,"AAAAAB99e3c=")</f>
        <v>#VALUE!</v>
      </c>
      <c r="DQ3" t="e">
        <f>AND(Лист1!B64,"AAAAAB99e3g=")</f>
        <v>#VALUE!</v>
      </c>
      <c r="DR3" t="e">
        <f>AND(Лист1!C64,"AAAAAB99e3k=")</f>
        <v>#VALUE!</v>
      </c>
      <c r="DS3" t="e">
        <f>AND(Лист1!D64,"AAAAAB99e3o=")</f>
        <v>#VALUE!</v>
      </c>
      <c r="DT3" t="e">
        <f>AND(Лист1!E64,"AAAAAB99e3s=")</f>
        <v>#VALUE!</v>
      </c>
      <c r="DU3" t="e">
        <f>AND(Лист1!F64,"AAAAAB99e3w=")</f>
        <v>#VALUE!</v>
      </c>
      <c r="DV3" t="e">
        <f>AND(Лист1!G64,"AAAAAB99e30=")</f>
        <v>#VALUE!</v>
      </c>
      <c r="DW3" t="e">
        <f>AND(Лист1!H64,"AAAAAB99e34=")</f>
        <v>#VALUE!</v>
      </c>
      <c r="DX3" t="e">
        <f>AND(Лист1!I64,"AAAAAB99e38=")</f>
        <v>#VALUE!</v>
      </c>
      <c r="DY3">
        <f>IF(Лист1!65:65,"AAAAAB99e4A=",0)</f>
        <v>0</v>
      </c>
      <c r="DZ3" t="e">
        <f>AND(Лист1!A65,"AAAAAB99e4E=")</f>
        <v>#VALUE!</v>
      </c>
      <c r="EA3" t="e">
        <f>AND(Лист1!B65,"AAAAAB99e4I=")</f>
        <v>#VALUE!</v>
      </c>
      <c r="EB3" t="e">
        <f>AND(Лист1!C65,"AAAAAB99e4M=")</f>
        <v>#VALUE!</v>
      </c>
      <c r="EC3" t="e">
        <f>AND(Лист1!D65,"AAAAAB99e4Q=")</f>
        <v>#VALUE!</v>
      </c>
      <c r="ED3" t="e">
        <f>AND(Лист1!E65,"AAAAAB99e4U=")</f>
        <v>#VALUE!</v>
      </c>
      <c r="EE3" t="e">
        <f>AND(Лист1!F65,"AAAAAB99e4Y=")</f>
        <v>#VALUE!</v>
      </c>
      <c r="EF3" t="e">
        <f>AND(Лист1!G65,"AAAAAB99e4c=")</f>
        <v>#VALUE!</v>
      </c>
      <c r="EG3" t="e">
        <f>AND(Лист1!H65,"AAAAAB99e4g=")</f>
        <v>#VALUE!</v>
      </c>
      <c r="EH3" t="e">
        <f>AND(Лист1!I65,"AAAAAB99e4k=")</f>
        <v>#VALUE!</v>
      </c>
      <c r="EI3">
        <f>IF(Лист1!66:66,"AAAAAB99e4o=",0)</f>
        <v>0</v>
      </c>
      <c r="EJ3" t="e">
        <f>AND(Лист1!A66,"AAAAAB99e4s=")</f>
        <v>#VALUE!</v>
      </c>
      <c r="EK3" t="e">
        <f>AND(Лист1!B66,"AAAAAB99e4w=")</f>
        <v>#VALUE!</v>
      </c>
      <c r="EL3" t="e">
        <f>AND(Лист1!C66,"AAAAAB99e40=")</f>
        <v>#VALUE!</v>
      </c>
      <c r="EM3" t="e">
        <f>AND(Лист1!D66,"AAAAAB99e44=")</f>
        <v>#VALUE!</v>
      </c>
      <c r="EN3" t="e">
        <f>AND(Лист1!E66,"AAAAAB99e48=")</f>
        <v>#VALUE!</v>
      </c>
      <c r="EO3" t="e">
        <f>AND(Лист1!F66,"AAAAAB99e5A=")</f>
        <v>#VALUE!</v>
      </c>
      <c r="EP3" t="e">
        <f>AND(Лист1!G66,"AAAAAB99e5E=")</f>
        <v>#VALUE!</v>
      </c>
      <c r="EQ3" t="e">
        <f>AND(Лист1!H66,"AAAAAB99e5I=")</f>
        <v>#VALUE!</v>
      </c>
      <c r="ER3" t="e">
        <f>AND(Лист1!I66,"AAAAAB99e5M=")</f>
        <v>#VALUE!</v>
      </c>
      <c r="ES3">
        <f>IF(Лист1!67:67,"AAAAAB99e5Q=",0)</f>
        <v>0</v>
      </c>
      <c r="ET3" t="e">
        <f>AND(Лист1!A67,"AAAAAB99e5U=")</f>
        <v>#VALUE!</v>
      </c>
      <c r="EU3" t="e">
        <f>AND(Лист1!B67,"AAAAAB99e5Y=")</f>
        <v>#VALUE!</v>
      </c>
      <c r="EV3" t="e">
        <f>AND(Лист1!C67,"AAAAAB99e5c=")</f>
        <v>#VALUE!</v>
      </c>
      <c r="EW3" t="e">
        <f>AND(Лист1!D67,"AAAAAB99e5g=")</f>
        <v>#VALUE!</v>
      </c>
      <c r="EX3" t="e">
        <f>AND(Лист1!E67,"AAAAAB99e5k=")</f>
        <v>#VALUE!</v>
      </c>
      <c r="EY3" t="e">
        <f>AND(Лист1!F67,"AAAAAB99e5o=")</f>
        <v>#VALUE!</v>
      </c>
      <c r="EZ3" t="e">
        <f>AND(Лист1!G67,"AAAAAB99e5s=")</f>
        <v>#VALUE!</v>
      </c>
      <c r="FA3" t="e">
        <f>AND(Лист1!H67,"AAAAAB99e5w=")</f>
        <v>#VALUE!</v>
      </c>
      <c r="FB3" t="e">
        <f>AND(Лист1!I67,"AAAAAB99e50=")</f>
        <v>#VALUE!</v>
      </c>
      <c r="FC3">
        <f>IF(Лист1!68:68,"AAAAAB99e54=",0)</f>
        <v>0</v>
      </c>
      <c r="FD3" t="e">
        <f>AND(Лист1!A68,"AAAAAB99e58=")</f>
        <v>#VALUE!</v>
      </c>
      <c r="FE3" t="e">
        <f>AND(Лист1!B68,"AAAAAB99e6A=")</f>
        <v>#VALUE!</v>
      </c>
      <c r="FF3" t="e">
        <f>AND(Лист1!C68,"AAAAAB99e6E=")</f>
        <v>#VALUE!</v>
      </c>
      <c r="FG3" t="e">
        <f>AND(Лист1!D68,"AAAAAB99e6I=")</f>
        <v>#VALUE!</v>
      </c>
      <c r="FH3" t="e">
        <f>AND(Лист1!E68,"AAAAAB99e6M=")</f>
        <v>#VALUE!</v>
      </c>
      <c r="FI3" t="e">
        <f>AND(Лист1!F68,"AAAAAB99e6Q=")</f>
        <v>#VALUE!</v>
      </c>
      <c r="FJ3" t="e">
        <f>AND(Лист1!G68,"AAAAAB99e6U=")</f>
        <v>#VALUE!</v>
      </c>
      <c r="FK3" t="e">
        <f>AND(Лист1!H68,"AAAAAB99e6Y=")</f>
        <v>#VALUE!</v>
      </c>
      <c r="FL3" t="e">
        <f>AND(Лист1!I68,"AAAAAB99e6c=")</f>
        <v>#VALUE!</v>
      </c>
      <c r="FM3">
        <f>IF(Лист1!69:69,"AAAAAB99e6g=",0)</f>
        <v>0</v>
      </c>
      <c r="FN3" t="e">
        <f>AND(Лист1!A69,"AAAAAB99e6k=")</f>
        <v>#VALUE!</v>
      </c>
      <c r="FO3" t="e">
        <f>AND(Лист1!B69,"AAAAAB99e6o=")</f>
        <v>#VALUE!</v>
      </c>
      <c r="FP3" t="e">
        <f>AND(Лист1!C69,"AAAAAB99e6s=")</f>
        <v>#VALUE!</v>
      </c>
      <c r="FQ3" t="e">
        <f>AND(Лист1!D69,"AAAAAB99e6w=")</f>
        <v>#VALUE!</v>
      </c>
      <c r="FR3" t="e">
        <f>AND(Лист1!E69,"AAAAAB99e60=")</f>
        <v>#VALUE!</v>
      </c>
      <c r="FS3" t="e">
        <f>AND(Лист1!F69,"AAAAAB99e64=")</f>
        <v>#VALUE!</v>
      </c>
      <c r="FT3" t="e">
        <f>AND(Лист1!G69,"AAAAAB99e68=")</f>
        <v>#VALUE!</v>
      </c>
      <c r="FU3" t="e">
        <f>AND(Лист1!H69,"AAAAAB99e7A=")</f>
        <v>#VALUE!</v>
      </c>
      <c r="FV3" t="e">
        <f>AND(Лист1!I69,"AAAAAB99e7E=")</f>
        <v>#VALUE!</v>
      </c>
      <c r="FW3">
        <f>IF(Лист1!70:70,"AAAAAB99e7I=",0)</f>
        <v>0</v>
      </c>
      <c r="FX3" t="e">
        <f>AND(Лист1!A70,"AAAAAB99e7M=")</f>
        <v>#VALUE!</v>
      </c>
      <c r="FY3" t="e">
        <f>AND(Лист1!B70,"AAAAAB99e7Q=")</f>
        <v>#VALUE!</v>
      </c>
      <c r="FZ3" t="e">
        <f>AND(Лист1!C70,"AAAAAB99e7U=")</f>
        <v>#VALUE!</v>
      </c>
      <c r="GA3" t="e">
        <f>AND(Лист1!D70,"AAAAAB99e7Y=")</f>
        <v>#VALUE!</v>
      </c>
      <c r="GB3" t="e">
        <f>AND(Лист1!E70,"AAAAAB99e7c=")</f>
        <v>#VALUE!</v>
      </c>
      <c r="GC3" t="e">
        <f>AND(Лист1!F70,"AAAAAB99e7g=")</f>
        <v>#VALUE!</v>
      </c>
      <c r="GD3" t="e">
        <f>AND(Лист1!G70,"AAAAAB99e7k=")</f>
        <v>#VALUE!</v>
      </c>
      <c r="GE3" t="e">
        <f>AND(Лист1!H70,"AAAAAB99e7o=")</f>
        <v>#VALUE!</v>
      </c>
      <c r="GF3" t="e">
        <f>AND(Лист1!I70,"AAAAAB99e7s=")</f>
        <v>#VALUE!</v>
      </c>
      <c r="GG3">
        <f>IF(Лист1!71:71,"AAAAAB99e7w=",0)</f>
        <v>0</v>
      </c>
      <c r="GH3" t="e">
        <f>AND(Лист1!A71,"AAAAAB99e70=")</f>
        <v>#VALUE!</v>
      </c>
      <c r="GI3" t="e">
        <f>AND(Лист1!B71,"AAAAAB99e74=")</f>
        <v>#VALUE!</v>
      </c>
      <c r="GJ3" t="e">
        <f>AND(Лист1!C71,"AAAAAB99e78=")</f>
        <v>#VALUE!</v>
      </c>
      <c r="GK3" t="e">
        <f>AND(Лист1!D71,"AAAAAB99e8A=")</f>
        <v>#VALUE!</v>
      </c>
      <c r="GL3" t="e">
        <f>AND(Лист1!E71,"AAAAAB99e8E=")</f>
        <v>#VALUE!</v>
      </c>
      <c r="GM3" t="e">
        <f>AND(Лист1!F71,"AAAAAB99e8I=")</f>
        <v>#VALUE!</v>
      </c>
      <c r="GN3" t="e">
        <f>AND(Лист1!G71,"AAAAAB99e8M=")</f>
        <v>#VALUE!</v>
      </c>
      <c r="GO3" t="e">
        <f>AND(Лист1!H71,"AAAAAB99e8Q=")</f>
        <v>#VALUE!</v>
      </c>
      <c r="GP3" t="e">
        <f>AND(Лист1!I71,"AAAAAB99e8U=")</f>
        <v>#VALUE!</v>
      </c>
      <c r="GQ3">
        <f>IF(Лист1!72:72,"AAAAAB99e8Y=",0)</f>
        <v>0</v>
      </c>
      <c r="GR3" t="e">
        <f>AND(Лист1!A72,"AAAAAB99e8c=")</f>
        <v>#VALUE!</v>
      </c>
      <c r="GS3" t="e">
        <f>AND(Лист1!B72,"AAAAAB99e8g=")</f>
        <v>#VALUE!</v>
      </c>
      <c r="GT3" t="e">
        <f>AND(Лист1!C72,"AAAAAB99e8k=")</f>
        <v>#VALUE!</v>
      </c>
      <c r="GU3" t="e">
        <f>AND(Лист1!D72,"AAAAAB99e8o=")</f>
        <v>#VALUE!</v>
      </c>
      <c r="GV3" t="e">
        <f>AND(Лист1!E72,"AAAAAB99e8s=")</f>
        <v>#VALUE!</v>
      </c>
      <c r="GW3" t="e">
        <f>AND(Лист1!F72,"AAAAAB99e8w=")</f>
        <v>#VALUE!</v>
      </c>
      <c r="GX3" t="e">
        <f>AND(Лист1!G72,"AAAAAB99e80=")</f>
        <v>#VALUE!</v>
      </c>
      <c r="GY3" t="e">
        <f>AND(Лист1!H72,"AAAAAB99e84=")</f>
        <v>#VALUE!</v>
      </c>
      <c r="GZ3" t="e">
        <f>AND(Лист1!I72,"AAAAAB99e88=")</f>
        <v>#VALUE!</v>
      </c>
      <c r="HA3">
        <f>IF(Лист1!73:73,"AAAAAB99e9A=",0)</f>
        <v>0</v>
      </c>
      <c r="HB3" t="e">
        <f>AND(Лист1!A73,"AAAAAB99e9E=")</f>
        <v>#VALUE!</v>
      </c>
      <c r="HC3" t="e">
        <f>AND(Лист1!B73,"AAAAAB99e9I=")</f>
        <v>#VALUE!</v>
      </c>
      <c r="HD3" t="e">
        <f>AND(Лист1!C73,"AAAAAB99e9M=")</f>
        <v>#VALUE!</v>
      </c>
      <c r="HE3" t="e">
        <f>AND(Лист1!D73,"AAAAAB99e9Q=")</f>
        <v>#VALUE!</v>
      </c>
      <c r="HF3" t="e">
        <f>AND(Лист1!E73,"AAAAAB99e9U=")</f>
        <v>#VALUE!</v>
      </c>
      <c r="HG3" t="e">
        <f>AND(Лист1!F73,"AAAAAB99e9Y=")</f>
        <v>#VALUE!</v>
      </c>
      <c r="HH3" t="e">
        <f>AND(Лист1!G73,"AAAAAB99e9c=")</f>
        <v>#VALUE!</v>
      </c>
      <c r="HI3" t="e">
        <f>AND(Лист1!H73,"AAAAAB99e9g=")</f>
        <v>#VALUE!</v>
      </c>
      <c r="HJ3" t="e">
        <f>AND(Лист1!I73,"AAAAAB99e9k=")</f>
        <v>#VALUE!</v>
      </c>
      <c r="HK3">
        <f>IF(Лист1!74:74,"AAAAAB99e9o=",0)</f>
        <v>0</v>
      </c>
      <c r="HL3" t="e">
        <f>AND(Лист1!A74,"AAAAAB99e9s=")</f>
        <v>#VALUE!</v>
      </c>
      <c r="HM3" t="e">
        <f>AND(Лист1!B74,"AAAAAB99e9w=")</f>
        <v>#VALUE!</v>
      </c>
      <c r="HN3" t="e">
        <f>AND(Лист1!C74,"AAAAAB99e90=")</f>
        <v>#VALUE!</v>
      </c>
      <c r="HO3" t="e">
        <f>AND(Лист1!D74,"AAAAAB99e94=")</f>
        <v>#VALUE!</v>
      </c>
      <c r="HP3" t="e">
        <f>AND(Лист1!E74,"AAAAAB99e98=")</f>
        <v>#VALUE!</v>
      </c>
      <c r="HQ3" t="e">
        <f>AND(Лист1!F74,"AAAAAB99e+A=")</f>
        <v>#VALUE!</v>
      </c>
      <c r="HR3" t="e">
        <f>AND(Лист1!G74,"AAAAAB99e+E=")</f>
        <v>#VALUE!</v>
      </c>
      <c r="HS3" t="e">
        <f>AND(Лист1!H74,"AAAAAB99e+I=")</f>
        <v>#VALUE!</v>
      </c>
      <c r="HT3" t="e">
        <f>AND(Лист1!I74,"AAAAAB99e+M=")</f>
        <v>#VALUE!</v>
      </c>
      <c r="HU3">
        <f>IF(Лист1!75:75,"AAAAAB99e+Q=",0)</f>
        <v>0</v>
      </c>
      <c r="HV3" t="e">
        <f>AND(Лист1!A75,"AAAAAB99e+U=")</f>
        <v>#VALUE!</v>
      </c>
      <c r="HW3" t="e">
        <f>AND(Лист1!B75,"AAAAAB99e+Y=")</f>
        <v>#VALUE!</v>
      </c>
      <c r="HX3" t="e">
        <f>AND(Лист1!C75,"AAAAAB99e+c=")</f>
        <v>#VALUE!</v>
      </c>
      <c r="HY3" t="e">
        <f>AND(Лист1!D75,"AAAAAB99e+g=")</f>
        <v>#VALUE!</v>
      </c>
      <c r="HZ3" t="e">
        <f>AND(Лист1!E75,"AAAAAB99e+k=")</f>
        <v>#VALUE!</v>
      </c>
      <c r="IA3" t="e">
        <f>AND(Лист1!F75,"AAAAAB99e+o=")</f>
        <v>#VALUE!</v>
      </c>
      <c r="IB3" t="e">
        <f>AND(Лист1!G75,"AAAAAB99e+s=")</f>
        <v>#VALUE!</v>
      </c>
      <c r="IC3" t="e">
        <f>AND(Лист1!H75,"AAAAAB99e+w=")</f>
        <v>#VALUE!</v>
      </c>
      <c r="ID3" t="e">
        <f>AND(Лист1!I75,"AAAAAB99e+0=")</f>
        <v>#VALUE!</v>
      </c>
      <c r="IE3">
        <f>IF(Лист1!76:76,"AAAAAB99e+4=",0)</f>
        <v>0</v>
      </c>
      <c r="IF3" t="e">
        <f>AND(Лист1!A76,"AAAAAB99e+8=")</f>
        <v>#VALUE!</v>
      </c>
      <c r="IG3" t="e">
        <f>AND(Лист1!B76,"AAAAAB99e/A=")</f>
        <v>#VALUE!</v>
      </c>
      <c r="IH3" t="e">
        <f>AND(Лист1!C76,"AAAAAB99e/E=")</f>
        <v>#VALUE!</v>
      </c>
      <c r="II3" t="e">
        <f>AND(Лист1!D76,"AAAAAB99e/I=")</f>
        <v>#VALUE!</v>
      </c>
      <c r="IJ3" t="e">
        <f>AND(Лист1!E76,"AAAAAB99e/M=")</f>
        <v>#VALUE!</v>
      </c>
      <c r="IK3" t="e">
        <f>AND(Лист1!F76,"AAAAAB99e/Q=")</f>
        <v>#VALUE!</v>
      </c>
      <c r="IL3" t="e">
        <f>AND(Лист1!G76,"AAAAAB99e/U=")</f>
        <v>#VALUE!</v>
      </c>
      <c r="IM3" t="e">
        <f>AND(Лист1!H76,"AAAAAB99e/Y=")</f>
        <v>#VALUE!</v>
      </c>
      <c r="IN3" t="e">
        <f>AND(Лист1!I76,"AAAAAB99e/c=")</f>
        <v>#VALUE!</v>
      </c>
      <c r="IO3">
        <f>IF(Лист1!77:77,"AAAAAB99e/g=",0)</f>
        <v>0</v>
      </c>
      <c r="IP3" t="e">
        <f>AND(Лист1!A77,"AAAAAB99e/k=")</f>
        <v>#VALUE!</v>
      </c>
      <c r="IQ3" t="e">
        <f>AND(Лист1!B77,"AAAAAB99e/o=")</f>
        <v>#VALUE!</v>
      </c>
      <c r="IR3" t="e">
        <f>AND(Лист1!C77,"AAAAAB99e/s=")</f>
        <v>#VALUE!</v>
      </c>
      <c r="IS3" t="e">
        <f>AND(Лист1!D77,"AAAAAB99e/w=")</f>
        <v>#VALUE!</v>
      </c>
      <c r="IT3" t="e">
        <f>AND(Лист1!E77,"AAAAAB99e/0=")</f>
        <v>#VALUE!</v>
      </c>
      <c r="IU3" t="e">
        <f>AND(Лист1!F77,"AAAAAB99e/4=")</f>
        <v>#VALUE!</v>
      </c>
      <c r="IV3" t="e">
        <f>AND(Лист1!G77,"AAAAAB99e/8=")</f>
        <v>#VALUE!</v>
      </c>
    </row>
    <row r="4" spans="1:256" ht="12.75">
      <c r="A4" t="e">
        <f>AND(Лист1!H77,"AAAAAHavXgA=")</f>
        <v>#VALUE!</v>
      </c>
      <c r="B4" t="e">
        <f>AND(Лист1!I77,"AAAAAHavXgE=")</f>
        <v>#VALUE!</v>
      </c>
      <c r="C4">
        <f>IF(Лист1!78:78,"AAAAAHavXgI=",0)</f>
        <v>0</v>
      </c>
      <c r="D4" t="e">
        <f>AND(Лист1!A78,"AAAAAHavXgM=")</f>
        <v>#VALUE!</v>
      </c>
      <c r="E4" t="e">
        <f>AND(Лист1!B78,"AAAAAHavXgQ=")</f>
        <v>#VALUE!</v>
      </c>
      <c r="F4" t="e">
        <f>AND(Лист1!C78,"AAAAAHavXgU=")</f>
        <v>#VALUE!</v>
      </c>
      <c r="G4" t="e">
        <f>AND(Лист1!D78,"AAAAAHavXgY=")</f>
        <v>#VALUE!</v>
      </c>
      <c r="H4" t="e">
        <f>AND(Лист1!E78,"AAAAAHavXgc=")</f>
        <v>#VALUE!</v>
      </c>
      <c r="I4" t="e">
        <f>AND(Лист1!F78,"AAAAAHavXgg=")</f>
        <v>#VALUE!</v>
      </c>
      <c r="J4" t="e">
        <f>AND(Лист1!G78,"AAAAAHavXgk=")</f>
        <v>#VALUE!</v>
      </c>
      <c r="K4" t="e">
        <f>AND(Лист1!H78,"AAAAAHavXgo=")</f>
        <v>#VALUE!</v>
      </c>
      <c r="L4" t="e">
        <f>AND(Лист1!I78,"AAAAAHavXgs=")</f>
        <v>#VALUE!</v>
      </c>
      <c r="M4">
        <f>IF(Лист1!79:79,"AAAAAHavXgw=",0)</f>
        <v>0</v>
      </c>
      <c r="N4" t="e">
        <f>AND(Лист1!A79,"AAAAAHavXg0=")</f>
        <v>#VALUE!</v>
      </c>
      <c r="O4" t="e">
        <f>AND(Лист1!B79,"AAAAAHavXg4=")</f>
        <v>#VALUE!</v>
      </c>
      <c r="P4" t="e">
        <f>AND(Лист1!C79,"AAAAAHavXg8=")</f>
        <v>#VALUE!</v>
      </c>
      <c r="Q4" t="e">
        <f>AND(Лист1!D79,"AAAAAHavXhA=")</f>
        <v>#VALUE!</v>
      </c>
      <c r="R4" t="e">
        <f>AND(Лист1!E79,"AAAAAHavXhE=")</f>
        <v>#VALUE!</v>
      </c>
      <c r="S4" t="e">
        <f>AND(Лист1!F79,"AAAAAHavXhI=")</f>
        <v>#VALUE!</v>
      </c>
      <c r="T4" t="e">
        <f>AND(Лист1!G79,"AAAAAHavXhM=")</f>
        <v>#VALUE!</v>
      </c>
      <c r="U4" t="e">
        <f>AND(Лист1!H79,"AAAAAHavXhQ=")</f>
        <v>#VALUE!</v>
      </c>
      <c r="V4" t="e">
        <f>AND(Лист1!I79,"AAAAAHavXhU=")</f>
        <v>#VALUE!</v>
      </c>
      <c r="W4">
        <f>IF(Лист1!80:80,"AAAAAHavXhY=",0)</f>
        <v>0</v>
      </c>
      <c r="X4" t="e">
        <f>AND(Лист1!A80,"AAAAAHavXhc=")</f>
        <v>#VALUE!</v>
      </c>
      <c r="Y4" t="e">
        <f>AND(Лист1!B80,"AAAAAHavXhg=")</f>
        <v>#VALUE!</v>
      </c>
      <c r="Z4" t="e">
        <f>AND(Лист1!C80,"AAAAAHavXhk=")</f>
        <v>#VALUE!</v>
      </c>
      <c r="AA4" t="e">
        <f>AND(Лист1!D80,"AAAAAHavXho=")</f>
        <v>#VALUE!</v>
      </c>
      <c r="AB4" t="e">
        <f>AND(Лист1!E80,"AAAAAHavXhs=")</f>
        <v>#VALUE!</v>
      </c>
      <c r="AC4" t="e">
        <f>AND(Лист1!F80,"AAAAAHavXhw=")</f>
        <v>#VALUE!</v>
      </c>
      <c r="AD4" t="e">
        <f>AND(Лист1!G80,"AAAAAHavXh0=")</f>
        <v>#VALUE!</v>
      </c>
      <c r="AE4" t="e">
        <f>AND(Лист1!H80,"AAAAAHavXh4=")</f>
        <v>#VALUE!</v>
      </c>
      <c r="AF4" t="e">
        <f>AND(Лист1!I80,"AAAAAHavXh8=")</f>
        <v>#VALUE!</v>
      </c>
      <c r="AG4">
        <f>IF(Лист1!81:81,"AAAAAHavXiA=",0)</f>
        <v>0</v>
      </c>
      <c r="AH4" t="e">
        <f>AND(Лист1!A81,"AAAAAHavXiE=")</f>
        <v>#VALUE!</v>
      </c>
      <c r="AI4" t="e">
        <f>AND(Лист1!B81,"AAAAAHavXiI=")</f>
        <v>#VALUE!</v>
      </c>
      <c r="AJ4" t="e">
        <f>AND(Лист1!C81,"AAAAAHavXiM=")</f>
        <v>#VALUE!</v>
      </c>
      <c r="AK4" t="e">
        <f>AND(Лист1!D81,"AAAAAHavXiQ=")</f>
        <v>#VALUE!</v>
      </c>
      <c r="AL4" t="e">
        <f>AND(Лист1!E81,"AAAAAHavXiU=")</f>
        <v>#VALUE!</v>
      </c>
      <c r="AM4" t="e">
        <f>AND(Лист1!F81,"AAAAAHavXiY=")</f>
        <v>#VALUE!</v>
      </c>
      <c r="AN4" t="e">
        <f>AND(Лист1!G81,"AAAAAHavXic=")</f>
        <v>#VALUE!</v>
      </c>
      <c r="AO4" t="e">
        <f>AND(Лист1!H81,"AAAAAHavXig=")</f>
        <v>#VALUE!</v>
      </c>
      <c r="AP4" t="e">
        <f>AND(Лист1!I81,"AAAAAHavXik=")</f>
        <v>#VALUE!</v>
      </c>
      <c r="AQ4">
        <f>IF(Лист1!82:82,"AAAAAHavXio=",0)</f>
        <v>0</v>
      </c>
      <c r="AR4" t="e">
        <f>AND(Лист1!A82,"AAAAAHavXis=")</f>
        <v>#VALUE!</v>
      </c>
      <c r="AS4" t="e">
        <f>AND(Лист1!B82,"AAAAAHavXiw=")</f>
        <v>#VALUE!</v>
      </c>
      <c r="AT4" t="e">
        <f>AND(Лист1!C82,"AAAAAHavXi0=")</f>
        <v>#VALUE!</v>
      </c>
      <c r="AU4" t="e">
        <f>AND(Лист1!D82,"AAAAAHavXi4=")</f>
        <v>#VALUE!</v>
      </c>
      <c r="AV4" t="e">
        <f>AND(Лист1!E82,"AAAAAHavXi8=")</f>
        <v>#VALUE!</v>
      </c>
      <c r="AW4" t="e">
        <f>AND(Лист1!F82,"AAAAAHavXjA=")</f>
        <v>#VALUE!</v>
      </c>
      <c r="AX4" t="e">
        <f>AND(Лист1!G82,"AAAAAHavXjE=")</f>
        <v>#VALUE!</v>
      </c>
      <c r="AY4" t="e">
        <f>AND(Лист1!H82,"AAAAAHavXjI=")</f>
        <v>#VALUE!</v>
      </c>
      <c r="AZ4" t="e">
        <f>AND(Лист1!I82,"AAAAAHavXjM=")</f>
        <v>#VALUE!</v>
      </c>
      <c r="BA4">
        <f>IF(Лист1!83:83,"AAAAAHavXjQ=",0)</f>
        <v>0</v>
      </c>
      <c r="BB4" t="e">
        <f>AND(Лист1!A83,"AAAAAHavXjU=")</f>
        <v>#VALUE!</v>
      </c>
      <c r="BC4" t="e">
        <f>AND(Лист1!B83,"AAAAAHavXjY=")</f>
        <v>#VALUE!</v>
      </c>
      <c r="BD4" t="e">
        <f>AND(Лист1!C83,"AAAAAHavXjc=")</f>
        <v>#VALUE!</v>
      </c>
      <c r="BE4" t="e">
        <f>AND(Лист1!D83,"AAAAAHavXjg=")</f>
        <v>#VALUE!</v>
      </c>
      <c r="BF4" t="e">
        <f>AND(Лист1!E83,"AAAAAHavXjk=")</f>
        <v>#VALUE!</v>
      </c>
      <c r="BG4" t="e">
        <f>AND(Лист1!F83,"AAAAAHavXjo=")</f>
        <v>#VALUE!</v>
      </c>
      <c r="BH4" t="e">
        <f>AND(Лист1!G83,"AAAAAHavXjs=")</f>
        <v>#VALUE!</v>
      </c>
      <c r="BI4" t="e">
        <f>AND(Лист1!H83,"AAAAAHavXjw=")</f>
        <v>#VALUE!</v>
      </c>
      <c r="BJ4" t="e">
        <f>AND(Лист1!I83,"AAAAAHavXj0=")</f>
        <v>#VALUE!</v>
      </c>
      <c r="BK4">
        <f>IF(Лист1!84:84,"AAAAAHavXj4=",0)</f>
        <v>0</v>
      </c>
      <c r="BL4" t="e">
        <f>AND(Лист1!A84,"AAAAAHavXj8=")</f>
        <v>#VALUE!</v>
      </c>
      <c r="BM4" t="e">
        <f>AND(Лист1!B84,"AAAAAHavXkA=")</f>
        <v>#VALUE!</v>
      </c>
      <c r="BN4" t="e">
        <f>AND(Лист1!C84,"AAAAAHavXkE=")</f>
        <v>#VALUE!</v>
      </c>
      <c r="BO4" t="e">
        <f>AND(Лист1!D84,"AAAAAHavXkI=")</f>
        <v>#VALUE!</v>
      </c>
      <c r="BP4" t="e">
        <f>AND(Лист1!E84,"AAAAAHavXkM=")</f>
        <v>#VALUE!</v>
      </c>
      <c r="BQ4" t="e">
        <f>AND(Лист1!F84,"AAAAAHavXkQ=")</f>
        <v>#VALUE!</v>
      </c>
      <c r="BR4" t="e">
        <f>AND(Лист1!G84,"AAAAAHavXkU=")</f>
        <v>#VALUE!</v>
      </c>
      <c r="BS4" t="e">
        <f>AND(Лист1!H84,"AAAAAHavXkY=")</f>
        <v>#VALUE!</v>
      </c>
      <c r="BT4" t="e">
        <f>AND(Лист1!I84,"AAAAAHavXkc=")</f>
        <v>#VALUE!</v>
      </c>
      <c r="BU4">
        <f>IF(Лист1!85:85,"AAAAAHavXkg=",0)</f>
        <v>0</v>
      </c>
      <c r="BV4" t="e">
        <f>AND(Лист1!A85,"AAAAAHavXkk=")</f>
        <v>#VALUE!</v>
      </c>
      <c r="BW4" t="e">
        <f>AND(Лист1!B85,"AAAAAHavXko=")</f>
        <v>#VALUE!</v>
      </c>
      <c r="BX4" t="e">
        <f>AND(Лист1!C85,"AAAAAHavXks=")</f>
        <v>#VALUE!</v>
      </c>
      <c r="BY4" t="e">
        <f>AND(Лист1!D85,"AAAAAHavXkw=")</f>
        <v>#VALUE!</v>
      </c>
      <c r="BZ4" t="e">
        <f>AND(Лист1!E85,"AAAAAHavXk0=")</f>
        <v>#VALUE!</v>
      </c>
      <c r="CA4" t="e">
        <f>AND(Лист1!F85,"AAAAAHavXk4=")</f>
        <v>#VALUE!</v>
      </c>
      <c r="CB4" t="e">
        <f>AND(Лист1!G85,"AAAAAHavXk8=")</f>
        <v>#VALUE!</v>
      </c>
      <c r="CC4" t="e">
        <f>AND(Лист1!H85,"AAAAAHavXlA=")</f>
        <v>#VALUE!</v>
      </c>
      <c r="CD4" t="e">
        <f>AND(Лист1!I85,"AAAAAHavXlE=")</f>
        <v>#VALUE!</v>
      </c>
      <c r="CE4">
        <f>IF(Лист1!86:86,"AAAAAHavXlI=",0)</f>
        <v>0</v>
      </c>
      <c r="CF4" t="e">
        <f>AND(Лист1!A86,"AAAAAHavXlM=")</f>
        <v>#VALUE!</v>
      </c>
      <c r="CG4" t="e">
        <f>AND(Лист1!B86,"AAAAAHavXlQ=")</f>
        <v>#VALUE!</v>
      </c>
      <c r="CH4" t="e">
        <f>AND(Лист1!C86,"AAAAAHavXlU=")</f>
        <v>#VALUE!</v>
      </c>
      <c r="CI4" t="e">
        <f>AND(Лист1!D86,"AAAAAHavXlY=")</f>
        <v>#VALUE!</v>
      </c>
      <c r="CJ4" t="e">
        <f>AND(Лист1!E86,"AAAAAHavXlc=")</f>
        <v>#VALUE!</v>
      </c>
      <c r="CK4" t="e">
        <f>AND(Лист1!F86,"AAAAAHavXlg=")</f>
        <v>#VALUE!</v>
      </c>
      <c r="CL4" t="e">
        <f>AND(Лист1!G86,"AAAAAHavXlk=")</f>
        <v>#VALUE!</v>
      </c>
      <c r="CM4" t="e">
        <f>AND(Лист1!H86,"AAAAAHavXlo=")</f>
        <v>#VALUE!</v>
      </c>
      <c r="CN4" t="e">
        <f>AND(Лист1!I86,"AAAAAHavXls=")</f>
        <v>#VALUE!</v>
      </c>
      <c r="CO4">
        <f>IF(Лист1!87:87,"AAAAAHavXlw=",0)</f>
        <v>0</v>
      </c>
      <c r="CP4" t="e">
        <f>AND(Лист1!A87,"AAAAAHavXl0=")</f>
        <v>#VALUE!</v>
      </c>
      <c r="CQ4" t="e">
        <f>AND(Лист1!B87,"AAAAAHavXl4=")</f>
        <v>#VALUE!</v>
      </c>
      <c r="CR4" t="e">
        <f>AND(Лист1!C87,"AAAAAHavXl8=")</f>
        <v>#VALUE!</v>
      </c>
      <c r="CS4" t="e">
        <f>AND(Лист1!D87,"AAAAAHavXmA=")</f>
        <v>#VALUE!</v>
      </c>
      <c r="CT4" t="e">
        <f>AND(Лист1!E87,"AAAAAHavXmE=")</f>
        <v>#VALUE!</v>
      </c>
      <c r="CU4" t="e">
        <f>AND(Лист1!F87,"AAAAAHavXmI=")</f>
        <v>#VALUE!</v>
      </c>
      <c r="CV4" t="e">
        <f>AND(Лист1!G87,"AAAAAHavXmM=")</f>
        <v>#VALUE!</v>
      </c>
      <c r="CW4" t="e">
        <f>AND(Лист1!H87,"AAAAAHavXmQ=")</f>
        <v>#VALUE!</v>
      </c>
      <c r="CX4" t="e">
        <f>AND(Лист1!I87,"AAAAAHavXmU=")</f>
        <v>#VALUE!</v>
      </c>
      <c r="CY4">
        <f>IF(Лист1!88:88,"AAAAAHavXmY=",0)</f>
        <v>0</v>
      </c>
      <c r="CZ4" t="e">
        <f>AND(Лист1!A88,"AAAAAHavXmc=")</f>
        <v>#VALUE!</v>
      </c>
      <c r="DA4" t="e">
        <f>AND(Лист1!B88,"AAAAAHavXmg=")</f>
        <v>#VALUE!</v>
      </c>
      <c r="DB4" t="e">
        <f>AND(Лист1!C88,"AAAAAHavXmk=")</f>
        <v>#VALUE!</v>
      </c>
      <c r="DC4" t="e">
        <f>AND(Лист1!D88,"AAAAAHavXmo=")</f>
        <v>#VALUE!</v>
      </c>
      <c r="DD4" t="e">
        <f>AND(Лист1!E88,"AAAAAHavXms=")</f>
        <v>#VALUE!</v>
      </c>
      <c r="DE4" t="e">
        <f>AND(Лист1!F88,"AAAAAHavXmw=")</f>
        <v>#VALUE!</v>
      </c>
      <c r="DF4" t="e">
        <f>AND(Лист1!G88,"AAAAAHavXm0=")</f>
        <v>#VALUE!</v>
      </c>
      <c r="DG4" t="e">
        <f>AND(Лист1!H88,"AAAAAHavXm4=")</f>
        <v>#VALUE!</v>
      </c>
      <c r="DH4" t="e">
        <f>AND(Лист1!I88,"AAAAAHavXm8=")</f>
        <v>#VALUE!</v>
      </c>
      <c r="DI4">
        <f>IF(Лист1!89:89,"AAAAAHavXnA=",0)</f>
        <v>0</v>
      </c>
      <c r="DJ4" t="e">
        <f>AND(Лист1!A89,"AAAAAHavXnE=")</f>
        <v>#VALUE!</v>
      </c>
      <c r="DK4" t="e">
        <f>AND(Лист1!B89,"AAAAAHavXnI=")</f>
        <v>#VALUE!</v>
      </c>
      <c r="DL4" t="e">
        <f>AND(Лист1!C89,"AAAAAHavXnM=")</f>
        <v>#VALUE!</v>
      </c>
      <c r="DM4" t="e">
        <f>AND(Лист1!D89,"AAAAAHavXnQ=")</f>
        <v>#VALUE!</v>
      </c>
      <c r="DN4" t="e">
        <f>AND(Лист1!E89,"AAAAAHavXnU=")</f>
        <v>#VALUE!</v>
      </c>
      <c r="DO4" t="e">
        <f>AND(Лист1!F89,"AAAAAHavXnY=")</f>
        <v>#VALUE!</v>
      </c>
      <c r="DP4" t="e">
        <f>AND(Лист1!G89,"AAAAAHavXnc=")</f>
        <v>#VALUE!</v>
      </c>
      <c r="DQ4" t="e">
        <f>AND(Лист1!H89,"AAAAAHavXng=")</f>
        <v>#VALUE!</v>
      </c>
      <c r="DR4" t="e">
        <f>AND(Лист1!I89,"AAAAAHavXnk=")</f>
        <v>#VALUE!</v>
      </c>
      <c r="DS4">
        <f>IF(Лист1!90:90,"AAAAAHavXno=",0)</f>
        <v>0</v>
      </c>
      <c r="DT4" t="e">
        <f>AND(Лист1!A90,"AAAAAHavXns=")</f>
        <v>#VALUE!</v>
      </c>
      <c r="DU4" t="e">
        <f>AND(Лист1!B90,"AAAAAHavXnw=")</f>
        <v>#VALUE!</v>
      </c>
      <c r="DV4" t="e">
        <f>AND(Лист1!C90,"AAAAAHavXn0=")</f>
        <v>#VALUE!</v>
      </c>
      <c r="DW4" t="e">
        <f>AND(Лист1!D90,"AAAAAHavXn4=")</f>
        <v>#VALUE!</v>
      </c>
      <c r="DX4" t="e">
        <f>AND(Лист1!E90,"AAAAAHavXn8=")</f>
        <v>#VALUE!</v>
      </c>
      <c r="DY4" t="e">
        <f>AND(Лист1!F90,"AAAAAHavXoA=")</f>
        <v>#VALUE!</v>
      </c>
      <c r="DZ4" t="e">
        <f>AND(Лист1!G90,"AAAAAHavXoE=")</f>
        <v>#VALUE!</v>
      </c>
      <c r="EA4" t="e">
        <f>AND(Лист1!H90,"AAAAAHavXoI=")</f>
        <v>#VALUE!</v>
      </c>
      <c r="EB4" t="e">
        <f>AND(Лист1!I90,"AAAAAHavXoM=")</f>
        <v>#VALUE!</v>
      </c>
      <c r="EC4">
        <f>IF(Лист1!91:91,"AAAAAHavXoQ=",0)</f>
        <v>0</v>
      </c>
      <c r="ED4" t="e">
        <f>AND(Лист1!A91,"AAAAAHavXoU=")</f>
        <v>#VALUE!</v>
      </c>
      <c r="EE4" t="e">
        <f>AND(Лист1!B91,"AAAAAHavXoY=")</f>
        <v>#VALUE!</v>
      </c>
      <c r="EF4" t="e">
        <f>AND(Лист1!C91,"AAAAAHavXoc=")</f>
        <v>#VALUE!</v>
      </c>
      <c r="EG4" t="e">
        <f>AND(Лист1!D91,"AAAAAHavXog=")</f>
        <v>#VALUE!</v>
      </c>
      <c r="EH4" t="e">
        <f>AND(Лист1!E91,"AAAAAHavXok=")</f>
        <v>#VALUE!</v>
      </c>
      <c r="EI4" t="e">
        <f>AND(Лист1!F91,"AAAAAHavXoo=")</f>
        <v>#VALUE!</v>
      </c>
      <c r="EJ4" t="e">
        <f>AND(Лист1!G91,"AAAAAHavXos=")</f>
        <v>#VALUE!</v>
      </c>
      <c r="EK4" t="e">
        <f>AND(Лист1!H91,"AAAAAHavXow=")</f>
        <v>#VALUE!</v>
      </c>
      <c r="EL4" t="e">
        <f>AND(Лист1!I91,"AAAAAHavXo0=")</f>
        <v>#VALUE!</v>
      </c>
      <c r="EM4">
        <f>IF(Лист1!92:92,"AAAAAHavXo4=",0)</f>
        <v>0</v>
      </c>
      <c r="EN4" t="e">
        <f>AND(Лист1!A92,"AAAAAHavXo8=")</f>
        <v>#VALUE!</v>
      </c>
      <c r="EO4" t="e">
        <f>AND(Лист1!B92,"AAAAAHavXpA=")</f>
        <v>#VALUE!</v>
      </c>
      <c r="EP4" t="e">
        <f>AND(Лист1!C92,"AAAAAHavXpE=")</f>
        <v>#VALUE!</v>
      </c>
      <c r="EQ4" t="e">
        <f>AND(Лист1!D92,"AAAAAHavXpI=")</f>
        <v>#VALUE!</v>
      </c>
      <c r="ER4" t="e">
        <f>AND(Лист1!E92,"AAAAAHavXpM=")</f>
        <v>#VALUE!</v>
      </c>
      <c r="ES4" t="e">
        <f>AND(Лист1!F92,"AAAAAHavXpQ=")</f>
        <v>#VALUE!</v>
      </c>
      <c r="ET4" t="e">
        <f>AND(Лист1!G92,"AAAAAHavXpU=")</f>
        <v>#VALUE!</v>
      </c>
      <c r="EU4" t="e">
        <f>AND(Лист1!H92,"AAAAAHavXpY=")</f>
        <v>#VALUE!</v>
      </c>
      <c r="EV4" t="e">
        <f>AND(Лист1!I92,"AAAAAHavXpc=")</f>
        <v>#VALUE!</v>
      </c>
      <c r="EW4">
        <f>IF(Лист1!93:93,"AAAAAHavXpg=",0)</f>
        <v>0</v>
      </c>
      <c r="EX4" t="e">
        <f>AND(Лист1!A93,"AAAAAHavXpk=")</f>
        <v>#VALUE!</v>
      </c>
      <c r="EY4" t="e">
        <f>AND(Лист1!B93,"AAAAAHavXpo=")</f>
        <v>#VALUE!</v>
      </c>
      <c r="EZ4" t="e">
        <f>AND(Лист1!C93,"AAAAAHavXps=")</f>
        <v>#VALUE!</v>
      </c>
      <c r="FA4" t="e">
        <f>AND(Лист1!D93,"AAAAAHavXpw=")</f>
        <v>#VALUE!</v>
      </c>
      <c r="FB4" t="e">
        <f>AND(Лист1!E93,"AAAAAHavXp0=")</f>
        <v>#VALUE!</v>
      </c>
      <c r="FC4" t="e">
        <f>AND(Лист1!F93,"AAAAAHavXp4=")</f>
        <v>#VALUE!</v>
      </c>
      <c r="FD4" t="e">
        <f>AND(Лист1!G93,"AAAAAHavXp8=")</f>
        <v>#VALUE!</v>
      </c>
      <c r="FE4" t="e">
        <f>AND(Лист1!H93,"AAAAAHavXqA=")</f>
        <v>#VALUE!</v>
      </c>
      <c r="FF4" t="e">
        <f>AND(Лист1!I93,"AAAAAHavXqE=")</f>
        <v>#VALUE!</v>
      </c>
      <c r="FG4">
        <f>IF(Лист1!94:94,"AAAAAHavXqI=",0)</f>
        <v>0</v>
      </c>
      <c r="FH4" t="e">
        <f>AND(Лист1!A94,"AAAAAHavXqM=")</f>
        <v>#VALUE!</v>
      </c>
      <c r="FI4" t="e">
        <f>AND(Лист1!B94,"AAAAAHavXqQ=")</f>
        <v>#VALUE!</v>
      </c>
      <c r="FJ4" t="e">
        <f>AND(Лист1!C94,"AAAAAHavXqU=")</f>
        <v>#VALUE!</v>
      </c>
      <c r="FK4" t="e">
        <f>AND(Лист1!D94,"AAAAAHavXqY=")</f>
        <v>#VALUE!</v>
      </c>
      <c r="FL4" t="e">
        <f>AND(Лист1!E94,"AAAAAHavXqc=")</f>
        <v>#VALUE!</v>
      </c>
      <c r="FM4" t="e">
        <f>AND(Лист1!F94,"AAAAAHavXqg=")</f>
        <v>#VALUE!</v>
      </c>
      <c r="FN4" t="e">
        <f>AND(Лист1!G94,"AAAAAHavXqk=")</f>
        <v>#VALUE!</v>
      </c>
      <c r="FO4" t="e">
        <f>AND(Лист1!H94,"AAAAAHavXqo=")</f>
        <v>#VALUE!</v>
      </c>
      <c r="FP4" t="e">
        <f>AND(Лист1!I94,"AAAAAHavXqs=")</f>
        <v>#VALUE!</v>
      </c>
      <c r="FQ4">
        <f>IF(Лист1!95:95,"AAAAAHavXqw=",0)</f>
        <v>0</v>
      </c>
      <c r="FR4" t="e">
        <f>AND(Лист1!A95,"AAAAAHavXq0=")</f>
        <v>#VALUE!</v>
      </c>
      <c r="FS4" t="e">
        <f>AND(Лист1!B95,"AAAAAHavXq4=")</f>
        <v>#VALUE!</v>
      </c>
      <c r="FT4" t="e">
        <f>AND(Лист1!C95,"AAAAAHavXq8=")</f>
        <v>#VALUE!</v>
      </c>
      <c r="FU4" t="e">
        <f>AND(Лист1!D95,"AAAAAHavXrA=")</f>
        <v>#VALUE!</v>
      </c>
      <c r="FV4" t="e">
        <f>AND(Лист1!E95,"AAAAAHavXrE=")</f>
        <v>#VALUE!</v>
      </c>
      <c r="FW4" t="e">
        <f>AND(Лист1!F95,"AAAAAHavXrI=")</f>
        <v>#VALUE!</v>
      </c>
      <c r="FX4" t="e">
        <f>AND(Лист1!G95,"AAAAAHavXrM=")</f>
        <v>#VALUE!</v>
      </c>
      <c r="FY4" t="e">
        <f>AND(Лист1!H95,"AAAAAHavXrQ=")</f>
        <v>#VALUE!</v>
      </c>
      <c r="FZ4" t="e">
        <f>AND(Лист1!I95,"AAAAAHavXrU=")</f>
        <v>#VALUE!</v>
      </c>
      <c r="GA4">
        <f>IF(Лист1!96:96,"AAAAAHavXrY=",0)</f>
        <v>0</v>
      </c>
      <c r="GB4" t="e">
        <f>AND(Лист1!A96,"AAAAAHavXrc=")</f>
        <v>#VALUE!</v>
      </c>
      <c r="GC4" t="e">
        <f>AND(Лист1!B96,"AAAAAHavXrg=")</f>
        <v>#VALUE!</v>
      </c>
      <c r="GD4" t="e">
        <f>AND(Лист1!C96,"AAAAAHavXrk=")</f>
        <v>#VALUE!</v>
      </c>
      <c r="GE4" t="e">
        <f>AND(Лист1!D96,"AAAAAHavXro=")</f>
        <v>#VALUE!</v>
      </c>
      <c r="GF4" t="e">
        <f>AND(Лист1!E96,"AAAAAHavXrs=")</f>
        <v>#VALUE!</v>
      </c>
      <c r="GG4" t="e">
        <f>AND(Лист1!F96,"AAAAAHavXrw=")</f>
        <v>#VALUE!</v>
      </c>
      <c r="GH4" t="e">
        <f>AND(Лист1!G96,"AAAAAHavXr0=")</f>
        <v>#VALUE!</v>
      </c>
      <c r="GI4" t="e">
        <f>AND(Лист1!H96,"AAAAAHavXr4=")</f>
        <v>#VALUE!</v>
      </c>
      <c r="GJ4" t="e">
        <f>AND(Лист1!I96,"AAAAAHavXr8=")</f>
        <v>#VALUE!</v>
      </c>
      <c r="GK4" t="e">
        <f>IF(Лист1!A:A,"AAAAAHavXsA=",0)</f>
        <v>#VALUE!</v>
      </c>
      <c r="GL4">
        <f>IF(Лист1!B:B,"AAAAAHavXsE=",0)</f>
        <v>0</v>
      </c>
      <c r="GM4">
        <f>IF(Лист1!C:C,"AAAAAHavXsI=",0)</f>
        <v>0</v>
      </c>
      <c r="GN4">
        <f>IF(Лист1!D:D,"AAAAAHavXsM=",0)</f>
        <v>0</v>
      </c>
      <c r="GO4">
        <f>IF(Лист1!E:E,"AAAAAHavXsQ=",0)</f>
        <v>0</v>
      </c>
      <c r="GP4">
        <f>IF(Лист1!F:F,"AAAAAHavXsU=",0)</f>
        <v>0</v>
      </c>
      <c r="GQ4">
        <f>IF(Лист1!G:G,"AAAAAHavXsY=",0)</f>
        <v>0</v>
      </c>
      <c r="GR4">
        <f>IF(Лист1!H:H,"AAAAAHavXsc=",0)</f>
        <v>0</v>
      </c>
      <c r="GS4">
        <f>IF(Лист1!I:I,"AAAAAHavXsg=",0)</f>
        <v>0</v>
      </c>
      <c r="GT4">
        <f>IF(Лист2!1:1,"AAAAAHavXsk=",0)</f>
        <v>0</v>
      </c>
      <c r="GU4" t="e">
        <f>AND(Лист2!A1,"AAAAAHavXso=")</f>
        <v>#VALUE!</v>
      </c>
      <c r="GV4" t="e">
        <f>AND(Лист2!B1,"AAAAAHavXss=")</f>
        <v>#VALUE!</v>
      </c>
      <c r="GW4" t="e">
        <f>AND(Лист2!C1,"AAAAAHavXsw=")</f>
        <v>#VALUE!</v>
      </c>
      <c r="GX4" t="e">
        <f>AND(Лист2!D1,"AAAAAHavXs0=")</f>
        <v>#VALUE!</v>
      </c>
      <c r="GY4" t="e">
        <f>AND(Лист2!E1,"AAAAAHavXs4=")</f>
        <v>#VALUE!</v>
      </c>
      <c r="GZ4" t="e">
        <f>AND(Лист2!F1,"AAAAAHavXs8=")</f>
        <v>#VALUE!</v>
      </c>
      <c r="HA4" t="e">
        <f>AND(Лист2!G1,"AAAAAHavXtA=")</f>
        <v>#VALUE!</v>
      </c>
      <c r="HB4" t="e">
        <f>AND(Лист2!H1,"AAAAAHavXtE=")</f>
        <v>#VALUE!</v>
      </c>
      <c r="HC4" t="e">
        <f>AND(Лист2!I1,"AAAAAHavXtI=")</f>
        <v>#VALUE!</v>
      </c>
      <c r="HD4" t="e">
        <f>AND(Лист2!J1,"AAAAAHavXtM=")</f>
        <v>#VALUE!</v>
      </c>
      <c r="HE4" t="e">
        <f>AND(Лист2!K1,"AAAAAHavXtQ=")</f>
        <v>#VALUE!</v>
      </c>
      <c r="HF4" t="e">
        <f>AND(Лист2!L1,"AAAAAHavXtU=")</f>
        <v>#VALUE!</v>
      </c>
      <c r="HG4" t="e">
        <f>AND(Лист2!M1,"AAAAAHavXtY=")</f>
        <v>#VALUE!</v>
      </c>
      <c r="HH4">
        <f>IF(Лист2!2:2,"AAAAAHavXtc=",0)</f>
        <v>0</v>
      </c>
      <c r="HI4" t="e">
        <f>AND(Лист2!A2,"AAAAAHavXtg=")</f>
        <v>#VALUE!</v>
      </c>
      <c r="HJ4" t="e">
        <f>AND(Лист2!B2,"AAAAAHavXtk=")</f>
        <v>#VALUE!</v>
      </c>
      <c r="HK4" t="e">
        <f>AND(Лист2!C2,"AAAAAHavXto=")</f>
        <v>#VALUE!</v>
      </c>
      <c r="HL4" t="e">
        <f>AND(Лист2!D2,"AAAAAHavXts=")</f>
        <v>#VALUE!</v>
      </c>
      <c r="HM4" t="e">
        <f>AND(Лист2!E2,"AAAAAHavXtw=")</f>
        <v>#VALUE!</v>
      </c>
      <c r="HN4" t="e">
        <f>AND(Лист2!F2,"AAAAAHavXt0=")</f>
        <v>#VALUE!</v>
      </c>
      <c r="HO4" t="e">
        <f>AND(Лист2!G2,"AAAAAHavXt4=")</f>
        <v>#VALUE!</v>
      </c>
      <c r="HP4" t="e">
        <f>AND(Лист2!H2,"AAAAAHavXt8=")</f>
        <v>#VALUE!</v>
      </c>
      <c r="HQ4" t="e">
        <f>AND(Лист2!I2,"AAAAAHavXuA=")</f>
        <v>#VALUE!</v>
      </c>
      <c r="HR4" t="e">
        <f>AND(Лист2!J2,"AAAAAHavXuE=")</f>
        <v>#VALUE!</v>
      </c>
      <c r="HS4" t="e">
        <f>AND(Лист2!K2,"AAAAAHavXuI=")</f>
        <v>#VALUE!</v>
      </c>
      <c r="HT4" t="e">
        <f>AND(Лист2!L2,"AAAAAHavXuM=")</f>
        <v>#VALUE!</v>
      </c>
      <c r="HU4" t="e">
        <f>AND(Лист2!M2,"AAAAAHavXuQ=")</f>
        <v>#VALUE!</v>
      </c>
      <c r="HV4">
        <f>IF(Лист2!3:3,"AAAAAHavXuU=",0)</f>
        <v>0</v>
      </c>
      <c r="HW4" t="e">
        <f>AND(Лист2!A3,"AAAAAHavXuY=")</f>
        <v>#VALUE!</v>
      </c>
      <c r="HX4" t="e">
        <f>AND(Лист2!B3,"AAAAAHavXuc=")</f>
        <v>#VALUE!</v>
      </c>
      <c r="HY4" t="e">
        <f>AND(Лист2!C3,"AAAAAHavXug=")</f>
        <v>#VALUE!</v>
      </c>
      <c r="HZ4" t="e">
        <f>AND(Лист2!D3,"AAAAAHavXuk=")</f>
        <v>#VALUE!</v>
      </c>
      <c r="IA4" t="e">
        <f>AND(Лист2!E3,"AAAAAHavXuo=")</f>
        <v>#VALUE!</v>
      </c>
      <c r="IB4" t="e">
        <f>AND(Лист2!F3,"AAAAAHavXus=")</f>
        <v>#VALUE!</v>
      </c>
      <c r="IC4" t="e">
        <f>AND(Лист2!G3,"AAAAAHavXuw=")</f>
        <v>#VALUE!</v>
      </c>
      <c r="ID4" t="e">
        <f>AND(Лист2!H3,"AAAAAHavXu0=")</f>
        <v>#VALUE!</v>
      </c>
      <c r="IE4" t="e">
        <f>AND(Лист2!I3,"AAAAAHavXu4=")</f>
        <v>#VALUE!</v>
      </c>
      <c r="IF4" t="e">
        <f>AND(Лист2!J3,"AAAAAHavXu8=")</f>
        <v>#VALUE!</v>
      </c>
      <c r="IG4" t="e">
        <f>AND(Лист2!K3,"AAAAAHavXvA=")</f>
        <v>#VALUE!</v>
      </c>
      <c r="IH4" t="e">
        <f>AND(Лист2!L3,"AAAAAHavXvE=")</f>
        <v>#VALUE!</v>
      </c>
      <c r="II4" t="e">
        <f>AND(Лист2!M3,"AAAAAHavXvI=")</f>
        <v>#VALUE!</v>
      </c>
      <c r="IJ4">
        <f>IF(Лист2!4:4,"AAAAAHavXvM=",0)</f>
        <v>0</v>
      </c>
      <c r="IK4" t="e">
        <f>AND(Лист2!A4,"AAAAAHavXvQ=")</f>
        <v>#VALUE!</v>
      </c>
      <c r="IL4" t="e">
        <f>AND(Лист2!B4,"AAAAAHavXvU=")</f>
        <v>#VALUE!</v>
      </c>
      <c r="IM4" t="e">
        <f>AND(Лист2!C4,"AAAAAHavXvY=")</f>
        <v>#VALUE!</v>
      </c>
      <c r="IN4" t="e">
        <f>AND(Лист2!D4,"AAAAAHavXvc=")</f>
        <v>#VALUE!</v>
      </c>
      <c r="IO4" t="e">
        <f>AND(Лист2!E4,"AAAAAHavXvg=")</f>
        <v>#VALUE!</v>
      </c>
      <c r="IP4" t="e">
        <f>AND(Лист2!F4,"AAAAAHavXvk=")</f>
        <v>#VALUE!</v>
      </c>
      <c r="IQ4" t="e">
        <f>AND(Лист2!G4,"AAAAAHavXvo=")</f>
        <v>#VALUE!</v>
      </c>
      <c r="IR4" t="e">
        <f>AND(Лист2!H4,"AAAAAHavXvs=")</f>
        <v>#VALUE!</v>
      </c>
      <c r="IS4" t="e">
        <f>AND(Лист2!I4,"AAAAAHavXvw=")</f>
        <v>#VALUE!</v>
      </c>
      <c r="IT4" t="e">
        <f>AND(Лист2!J4,"AAAAAHavXv0=")</f>
        <v>#VALUE!</v>
      </c>
      <c r="IU4" t="e">
        <f>AND(Лист2!K4,"AAAAAHavXv4=")</f>
        <v>#VALUE!</v>
      </c>
      <c r="IV4" t="e">
        <f>AND(Лист2!L4,"AAAAAHavXv8=")</f>
        <v>#VALUE!</v>
      </c>
    </row>
    <row r="5" spans="1:256" ht="12.75">
      <c r="A5" t="e">
        <f>AND(Лист2!M4,"AAAAAF++8wA=")</f>
        <v>#VALUE!</v>
      </c>
      <c r="B5">
        <f>IF(Лист2!5:5,"AAAAAF++8wE=",0)</f>
        <v>0</v>
      </c>
      <c r="C5" t="e">
        <f>AND(Лист2!A5,"AAAAAF++8wI=")</f>
        <v>#VALUE!</v>
      </c>
      <c r="D5" t="e">
        <f>AND(Лист2!B5,"AAAAAF++8wM=")</f>
        <v>#VALUE!</v>
      </c>
      <c r="E5" t="e">
        <f>AND(Лист2!C5,"AAAAAF++8wQ=")</f>
        <v>#VALUE!</v>
      </c>
      <c r="F5" t="e">
        <f>AND(Лист2!D5,"AAAAAF++8wU=")</f>
        <v>#VALUE!</v>
      </c>
      <c r="G5" t="e">
        <f>AND(Лист2!E5,"AAAAAF++8wY=")</f>
        <v>#VALUE!</v>
      </c>
      <c r="H5" t="e">
        <f>AND(Лист2!F5,"AAAAAF++8wc=")</f>
        <v>#VALUE!</v>
      </c>
      <c r="I5" t="e">
        <f>AND(Лист2!G5,"AAAAAF++8wg=")</f>
        <v>#VALUE!</v>
      </c>
      <c r="J5" t="e">
        <f>AND(Лист2!H5,"AAAAAF++8wk=")</f>
        <v>#VALUE!</v>
      </c>
      <c r="K5" t="e">
        <f>AND(Лист2!I5,"AAAAAF++8wo=")</f>
        <v>#VALUE!</v>
      </c>
      <c r="L5" t="e">
        <f>AND(Лист2!J5,"AAAAAF++8ws=")</f>
        <v>#VALUE!</v>
      </c>
      <c r="M5" t="e">
        <f>AND(Лист2!K5,"AAAAAF++8ww=")</f>
        <v>#VALUE!</v>
      </c>
      <c r="N5" t="e">
        <f>AND(Лист2!L5,"AAAAAF++8w0=")</f>
        <v>#VALUE!</v>
      </c>
      <c r="O5" t="e">
        <f>AND(Лист2!M5,"AAAAAF++8w4=")</f>
        <v>#VALUE!</v>
      </c>
      <c r="P5">
        <f>IF(Лист2!6:6,"AAAAAF++8w8=",0)</f>
        <v>0</v>
      </c>
      <c r="Q5" t="e">
        <f>AND(Лист2!A6,"AAAAAF++8xA=")</f>
        <v>#VALUE!</v>
      </c>
      <c r="R5" t="e">
        <f>AND(Лист2!B6,"AAAAAF++8xE=")</f>
        <v>#VALUE!</v>
      </c>
      <c r="S5" t="e">
        <f>AND(Лист2!C6,"AAAAAF++8xI=")</f>
        <v>#VALUE!</v>
      </c>
      <c r="T5" t="e">
        <f>AND(Лист2!D6,"AAAAAF++8xM=")</f>
        <v>#VALUE!</v>
      </c>
      <c r="U5" t="e">
        <f>AND(Лист2!E6,"AAAAAF++8xQ=")</f>
        <v>#VALUE!</v>
      </c>
      <c r="V5" t="e">
        <f>AND(Лист2!F6,"AAAAAF++8xU=")</f>
        <v>#VALUE!</v>
      </c>
      <c r="W5" t="e">
        <f>AND(Лист2!G6,"AAAAAF++8xY=")</f>
        <v>#VALUE!</v>
      </c>
      <c r="X5" t="e">
        <f>AND(Лист2!H6,"AAAAAF++8xc=")</f>
        <v>#VALUE!</v>
      </c>
      <c r="Y5" t="e">
        <f>AND(Лист2!I6,"AAAAAF++8xg=")</f>
        <v>#VALUE!</v>
      </c>
      <c r="Z5" t="e">
        <f>AND(Лист2!J6,"AAAAAF++8xk=")</f>
        <v>#VALUE!</v>
      </c>
      <c r="AA5" t="e">
        <f>AND(Лист2!K6,"AAAAAF++8xo=")</f>
        <v>#VALUE!</v>
      </c>
      <c r="AB5" t="e">
        <f>AND(Лист2!L6,"AAAAAF++8xs=")</f>
        <v>#VALUE!</v>
      </c>
      <c r="AC5" t="e">
        <f>AND(Лист2!M6,"AAAAAF++8xw=")</f>
        <v>#VALUE!</v>
      </c>
      <c r="AD5">
        <f>IF(Лист2!7:7,"AAAAAF++8x0=",0)</f>
        <v>0</v>
      </c>
      <c r="AE5" t="e">
        <f>AND(Лист2!A7,"AAAAAF++8x4=")</f>
        <v>#VALUE!</v>
      </c>
      <c r="AF5" t="e">
        <f>AND(Лист2!B7,"AAAAAF++8x8=")</f>
        <v>#VALUE!</v>
      </c>
      <c r="AG5" t="e">
        <f>AND(Лист2!C7,"AAAAAF++8yA=")</f>
        <v>#VALUE!</v>
      </c>
      <c r="AH5" t="e">
        <f>AND(Лист2!D7,"AAAAAF++8yE=")</f>
        <v>#VALUE!</v>
      </c>
      <c r="AI5" t="e">
        <f>AND(Лист2!E7,"AAAAAF++8yI=")</f>
        <v>#VALUE!</v>
      </c>
      <c r="AJ5" t="e">
        <f>AND(Лист2!F7,"AAAAAF++8yM=")</f>
        <v>#VALUE!</v>
      </c>
      <c r="AK5" t="e">
        <f>AND(Лист2!G7,"AAAAAF++8yQ=")</f>
        <v>#VALUE!</v>
      </c>
      <c r="AL5" t="e">
        <f>AND(Лист2!H7,"AAAAAF++8yU=")</f>
        <v>#VALUE!</v>
      </c>
      <c r="AM5" t="e">
        <f>AND(Лист2!I7,"AAAAAF++8yY=")</f>
        <v>#VALUE!</v>
      </c>
      <c r="AN5" t="e">
        <f>AND(Лист2!J7,"AAAAAF++8yc=")</f>
        <v>#VALUE!</v>
      </c>
      <c r="AO5" t="e">
        <f>AND(Лист2!K7,"AAAAAF++8yg=")</f>
        <v>#VALUE!</v>
      </c>
      <c r="AP5" t="e">
        <f>AND(Лист2!L7,"AAAAAF++8yk=")</f>
        <v>#VALUE!</v>
      </c>
      <c r="AQ5" t="e">
        <f>AND(Лист2!M7,"AAAAAF++8yo=")</f>
        <v>#VALUE!</v>
      </c>
      <c r="AR5">
        <f>IF(Лист2!8:8,"AAAAAF++8ys=",0)</f>
        <v>0</v>
      </c>
      <c r="AS5" t="e">
        <f>AND(Лист2!A8,"AAAAAF++8yw=")</f>
        <v>#VALUE!</v>
      </c>
      <c r="AT5" t="e">
        <f>AND(Лист2!B8,"AAAAAF++8y0=")</f>
        <v>#VALUE!</v>
      </c>
      <c r="AU5" t="e">
        <f>AND(Лист2!C8,"AAAAAF++8y4=")</f>
        <v>#VALUE!</v>
      </c>
      <c r="AV5" t="e">
        <f>AND(Лист2!D8,"AAAAAF++8y8=")</f>
        <v>#VALUE!</v>
      </c>
      <c r="AW5" t="e">
        <f>AND(Лист2!E8,"AAAAAF++8zA=")</f>
        <v>#VALUE!</v>
      </c>
      <c r="AX5" t="e">
        <f>AND(Лист2!F8,"AAAAAF++8zE=")</f>
        <v>#VALUE!</v>
      </c>
      <c r="AY5" t="e">
        <f>AND(Лист2!G8,"AAAAAF++8zI=")</f>
        <v>#VALUE!</v>
      </c>
      <c r="AZ5" t="e">
        <f>AND(Лист2!H8,"AAAAAF++8zM=")</f>
        <v>#VALUE!</v>
      </c>
      <c r="BA5" t="e">
        <f>AND(Лист2!I8,"AAAAAF++8zQ=")</f>
        <v>#VALUE!</v>
      </c>
      <c r="BB5" t="e">
        <f>AND(Лист2!J8,"AAAAAF++8zU=")</f>
        <v>#VALUE!</v>
      </c>
      <c r="BC5" t="e">
        <f>AND(Лист2!K8,"AAAAAF++8zY=")</f>
        <v>#VALUE!</v>
      </c>
      <c r="BD5" t="e">
        <f>AND(Лист2!L8,"AAAAAF++8zc=")</f>
        <v>#VALUE!</v>
      </c>
      <c r="BE5" t="e">
        <f>AND(Лист2!M8,"AAAAAF++8zg=")</f>
        <v>#VALUE!</v>
      </c>
      <c r="BF5">
        <f>IF(Лист2!9:9,"AAAAAF++8zk=",0)</f>
        <v>0</v>
      </c>
      <c r="BG5" t="e">
        <f>AND(Лист2!A9,"AAAAAF++8zo=")</f>
        <v>#VALUE!</v>
      </c>
      <c r="BH5" t="e">
        <f>AND(Лист2!B9,"AAAAAF++8zs=")</f>
        <v>#VALUE!</v>
      </c>
      <c r="BI5" t="e">
        <f>AND(Лист2!C9,"AAAAAF++8zw=")</f>
        <v>#VALUE!</v>
      </c>
      <c r="BJ5" t="e">
        <f>AND(Лист2!D9,"AAAAAF++8z0=")</f>
        <v>#VALUE!</v>
      </c>
      <c r="BK5" t="e">
        <f>AND(Лист2!E9,"AAAAAF++8z4=")</f>
        <v>#VALUE!</v>
      </c>
      <c r="BL5" t="e">
        <f>AND(Лист2!F9,"AAAAAF++8z8=")</f>
        <v>#VALUE!</v>
      </c>
      <c r="BM5" t="e">
        <f>AND(Лист2!G9,"AAAAAF++80A=")</f>
        <v>#VALUE!</v>
      </c>
      <c r="BN5" t="e">
        <f>AND(Лист2!H9,"AAAAAF++80E=")</f>
        <v>#VALUE!</v>
      </c>
      <c r="BO5" t="e">
        <f>AND(Лист2!I9,"AAAAAF++80I=")</f>
        <v>#VALUE!</v>
      </c>
      <c r="BP5" t="e">
        <f>AND(Лист2!J9,"AAAAAF++80M=")</f>
        <v>#VALUE!</v>
      </c>
      <c r="BQ5" t="e">
        <f>AND(Лист2!K9,"AAAAAF++80Q=")</f>
        <v>#VALUE!</v>
      </c>
      <c r="BR5" t="e">
        <f>AND(Лист2!L9,"AAAAAF++80U=")</f>
        <v>#VALUE!</v>
      </c>
      <c r="BS5" t="e">
        <f>AND(Лист2!M9,"AAAAAF++80Y=")</f>
        <v>#VALUE!</v>
      </c>
      <c r="BT5">
        <f>IF(Лист2!10:10,"AAAAAF++80c=",0)</f>
        <v>0</v>
      </c>
      <c r="BU5" t="e">
        <f>AND(Лист2!A10,"AAAAAF++80g=")</f>
        <v>#VALUE!</v>
      </c>
      <c r="BV5" t="e">
        <f>AND(Лист2!B10,"AAAAAF++80k=")</f>
        <v>#VALUE!</v>
      </c>
      <c r="BW5" t="e">
        <f>AND(Лист2!C10,"AAAAAF++80o=")</f>
        <v>#VALUE!</v>
      </c>
      <c r="BX5" t="e">
        <f>AND(Лист2!D10,"AAAAAF++80s=")</f>
        <v>#VALUE!</v>
      </c>
      <c r="BY5" t="e">
        <f>AND(Лист2!E10,"AAAAAF++80w=")</f>
        <v>#VALUE!</v>
      </c>
      <c r="BZ5" t="e">
        <f>AND(Лист2!F10,"AAAAAF++800=")</f>
        <v>#VALUE!</v>
      </c>
      <c r="CA5" t="e">
        <f>AND(Лист2!G10,"AAAAAF++804=")</f>
        <v>#VALUE!</v>
      </c>
      <c r="CB5" t="e">
        <f>AND(Лист2!H10,"AAAAAF++808=")</f>
        <v>#VALUE!</v>
      </c>
      <c r="CC5" t="e">
        <f>AND(Лист2!I10,"AAAAAF++81A=")</f>
        <v>#VALUE!</v>
      </c>
      <c r="CD5" t="e">
        <f>AND(Лист2!J10,"AAAAAF++81E=")</f>
        <v>#VALUE!</v>
      </c>
      <c r="CE5" t="e">
        <f>AND(Лист2!K10,"AAAAAF++81I=")</f>
        <v>#VALUE!</v>
      </c>
      <c r="CF5" t="e">
        <f>AND(Лист2!L10,"AAAAAF++81M=")</f>
        <v>#VALUE!</v>
      </c>
      <c r="CG5" t="e">
        <f>AND(Лист2!M10,"AAAAAF++81Q=")</f>
        <v>#VALUE!</v>
      </c>
      <c r="CH5">
        <f>IF(Лист2!11:11,"AAAAAF++81U=",0)</f>
        <v>0</v>
      </c>
      <c r="CI5" t="e">
        <f>AND(Лист2!A11,"AAAAAF++81Y=")</f>
        <v>#VALUE!</v>
      </c>
      <c r="CJ5" t="e">
        <f>AND(Лист2!B11,"AAAAAF++81c=")</f>
        <v>#VALUE!</v>
      </c>
      <c r="CK5" t="e">
        <f>AND(Лист2!C11,"AAAAAF++81g=")</f>
        <v>#VALUE!</v>
      </c>
      <c r="CL5" t="e">
        <f>AND(Лист2!D11,"AAAAAF++81k=")</f>
        <v>#VALUE!</v>
      </c>
      <c r="CM5" t="e">
        <f>AND(Лист2!E11,"AAAAAF++81o=")</f>
        <v>#VALUE!</v>
      </c>
      <c r="CN5" t="e">
        <f>AND(Лист2!F11,"AAAAAF++81s=")</f>
        <v>#VALUE!</v>
      </c>
      <c r="CO5" t="e">
        <f>AND(Лист2!G11,"AAAAAF++81w=")</f>
        <v>#VALUE!</v>
      </c>
      <c r="CP5" t="e">
        <f>AND(Лист2!H11,"AAAAAF++810=")</f>
        <v>#VALUE!</v>
      </c>
      <c r="CQ5" t="e">
        <f>AND(Лист2!I11,"AAAAAF++814=")</f>
        <v>#VALUE!</v>
      </c>
      <c r="CR5" t="e">
        <f>AND(Лист2!J11,"AAAAAF++818=")</f>
        <v>#VALUE!</v>
      </c>
      <c r="CS5" t="e">
        <f>AND(Лист2!K11,"AAAAAF++82A=")</f>
        <v>#VALUE!</v>
      </c>
      <c r="CT5" t="e">
        <f>AND(Лист2!L11,"AAAAAF++82E=")</f>
        <v>#VALUE!</v>
      </c>
      <c r="CU5" t="e">
        <f>AND(Лист2!M11,"AAAAAF++82I=")</f>
        <v>#VALUE!</v>
      </c>
      <c r="CV5">
        <f>IF(Лист2!12:12,"AAAAAF++82M=",0)</f>
        <v>0</v>
      </c>
      <c r="CW5" t="e">
        <f>AND(Лист2!A12,"AAAAAF++82Q=")</f>
        <v>#VALUE!</v>
      </c>
      <c r="CX5" t="e">
        <f>AND(Лист2!B12,"AAAAAF++82U=")</f>
        <v>#VALUE!</v>
      </c>
      <c r="CY5" t="e">
        <f>AND(Лист2!C12,"AAAAAF++82Y=")</f>
        <v>#VALUE!</v>
      </c>
      <c r="CZ5" t="e">
        <f>AND(Лист2!D12,"AAAAAF++82c=")</f>
        <v>#VALUE!</v>
      </c>
      <c r="DA5" t="e">
        <f>AND(Лист2!E12,"AAAAAF++82g=")</f>
        <v>#VALUE!</v>
      </c>
      <c r="DB5" t="e">
        <f>AND(Лист2!F12,"AAAAAF++82k=")</f>
        <v>#VALUE!</v>
      </c>
      <c r="DC5" t="e">
        <f>AND(Лист2!G12,"AAAAAF++82o=")</f>
        <v>#VALUE!</v>
      </c>
      <c r="DD5" t="e">
        <f>AND(Лист2!H12,"AAAAAF++82s=")</f>
        <v>#VALUE!</v>
      </c>
      <c r="DE5" t="e">
        <f>AND(Лист2!I12,"AAAAAF++82w=")</f>
        <v>#VALUE!</v>
      </c>
      <c r="DF5" t="e">
        <f>AND(Лист2!J12,"AAAAAF++820=")</f>
        <v>#VALUE!</v>
      </c>
      <c r="DG5" t="e">
        <f>AND(Лист2!K12,"AAAAAF++824=")</f>
        <v>#VALUE!</v>
      </c>
      <c r="DH5" t="e">
        <f>AND(Лист2!L12,"AAAAAF++828=")</f>
        <v>#VALUE!</v>
      </c>
      <c r="DI5" t="e">
        <f>AND(Лист2!M12,"AAAAAF++83A=")</f>
        <v>#VALUE!</v>
      </c>
      <c r="DJ5">
        <f>IF(Лист2!13:13,"AAAAAF++83E=",0)</f>
        <v>0</v>
      </c>
      <c r="DK5" t="e">
        <f>AND(Лист2!A13,"AAAAAF++83I=")</f>
        <v>#VALUE!</v>
      </c>
      <c r="DL5" t="e">
        <f>AND(Лист2!B13,"AAAAAF++83M=")</f>
        <v>#VALUE!</v>
      </c>
      <c r="DM5" t="e">
        <f>AND(Лист2!C13,"AAAAAF++83Q=")</f>
        <v>#VALUE!</v>
      </c>
      <c r="DN5" t="e">
        <f>AND(Лист2!D13,"AAAAAF++83U=")</f>
        <v>#VALUE!</v>
      </c>
      <c r="DO5" t="e">
        <f>AND(Лист2!E13,"AAAAAF++83Y=")</f>
        <v>#VALUE!</v>
      </c>
      <c r="DP5" t="e">
        <f>AND(Лист2!F13,"AAAAAF++83c=")</f>
        <v>#VALUE!</v>
      </c>
      <c r="DQ5" t="e">
        <f>AND(Лист2!G13,"AAAAAF++83g=")</f>
        <v>#VALUE!</v>
      </c>
      <c r="DR5" t="e">
        <f>AND(Лист2!H13,"AAAAAF++83k=")</f>
        <v>#VALUE!</v>
      </c>
      <c r="DS5" t="e">
        <f>AND(Лист2!I13,"AAAAAF++83o=")</f>
        <v>#VALUE!</v>
      </c>
      <c r="DT5" t="e">
        <f>AND(Лист2!J13,"AAAAAF++83s=")</f>
        <v>#VALUE!</v>
      </c>
      <c r="DU5" t="e">
        <f>AND(Лист2!K13,"AAAAAF++83w=")</f>
        <v>#VALUE!</v>
      </c>
      <c r="DV5" t="e">
        <f>AND(Лист2!L13,"AAAAAF++830=")</f>
        <v>#VALUE!</v>
      </c>
      <c r="DW5" t="e">
        <f>AND(Лист2!M13,"AAAAAF++834=")</f>
        <v>#VALUE!</v>
      </c>
      <c r="DX5">
        <f>IF(Лист2!14:14,"AAAAAF++838=",0)</f>
        <v>0</v>
      </c>
      <c r="DY5" t="e">
        <f>AND(Лист2!A14,"AAAAAF++84A=")</f>
        <v>#VALUE!</v>
      </c>
      <c r="DZ5" t="e">
        <f>AND(Лист2!B14,"AAAAAF++84E=")</f>
        <v>#VALUE!</v>
      </c>
      <c r="EA5" t="e">
        <f>AND(Лист2!C14,"AAAAAF++84I=")</f>
        <v>#VALUE!</v>
      </c>
      <c r="EB5" t="e">
        <f>AND(Лист2!D14,"AAAAAF++84M=")</f>
        <v>#VALUE!</v>
      </c>
      <c r="EC5" t="e">
        <f>AND(Лист2!E14,"AAAAAF++84Q=")</f>
        <v>#VALUE!</v>
      </c>
      <c r="ED5" t="e">
        <f>AND(Лист2!F14,"AAAAAF++84U=")</f>
        <v>#VALUE!</v>
      </c>
      <c r="EE5" t="e">
        <f>AND(Лист2!G14,"AAAAAF++84Y=")</f>
        <v>#VALUE!</v>
      </c>
      <c r="EF5" t="e">
        <f>AND(Лист2!H14,"AAAAAF++84c=")</f>
        <v>#VALUE!</v>
      </c>
      <c r="EG5" t="e">
        <f>AND(Лист2!I14,"AAAAAF++84g=")</f>
        <v>#VALUE!</v>
      </c>
      <c r="EH5" t="e">
        <f>AND(Лист2!J14,"AAAAAF++84k=")</f>
        <v>#VALUE!</v>
      </c>
      <c r="EI5" t="e">
        <f>AND(Лист2!K14,"AAAAAF++84o=")</f>
        <v>#VALUE!</v>
      </c>
      <c r="EJ5" t="e">
        <f>AND(Лист2!L14,"AAAAAF++84s=")</f>
        <v>#VALUE!</v>
      </c>
      <c r="EK5" t="e">
        <f>AND(Лист2!M14,"AAAAAF++84w=")</f>
        <v>#VALUE!</v>
      </c>
      <c r="EL5">
        <f>IF(Лист2!15:15,"AAAAAF++840=",0)</f>
        <v>0</v>
      </c>
      <c r="EM5" t="e">
        <f>AND(Лист2!A15,"AAAAAF++844=")</f>
        <v>#VALUE!</v>
      </c>
      <c r="EN5" t="e">
        <f>AND(Лист2!B15,"AAAAAF++848=")</f>
        <v>#VALUE!</v>
      </c>
      <c r="EO5" t="e">
        <f>AND(Лист2!C15,"AAAAAF++85A=")</f>
        <v>#VALUE!</v>
      </c>
      <c r="EP5" t="e">
        <f>AND(Лист2!D15,"AAAAAF++85E=")</f>
        <v>#VALUE!</v>
      </c>
      <c r="EQ5" t="e">
        <f>AND(Лист2!E15,"AAAAAF++85I=")</f>
        <v>#VALUE!</v>
      </c>
      <c r="ER5" t="e">
        <f>AND(Лист2!F15,"AAAAAF++85M=")</f>
        <v>#VALUE!</v>
      </c>
      <c r="ES5" t="e">
        <f>AND(Лист2!G15,"AAAAAF++85Q=")</f>
        <v>#VALUE!</v>
      </c>
      <c r="ET5" t="e">
        <f>AND(Лист2!H15,"AAAAAF++85U=")</f>
        <v>#VALUE!</v>
      </c>
      <c r="EU5" t="e">
        <f>AND(Лист2!I15,"AAAAAF++85Y=")</f>
        <v>#VALUE!</v>
      </c>
      <c r="EV5" t="e">
        <f>AND(Лист2!J15,"AAAAAF++85c=")</f>
        <v>#VALUE!</v>
      </c>
      <c r="EW5" t="e">
        <f>AND(Лист2!K15,"AAAAAF++85g=")</f>
        <v>#VALUE!</v>
      </c>
      <c r="EX5" t="e">
        <f>AND(Лист2!L15,"AAAAAF++85k=")</f>
        <v>#VALUE!</v>
      </c>
      <c r="EY5" t="e">
        <f>AND(Лист2!M15,"AAAAAF++85o=")</f>
        <v>#VALUE!</v>
      </c>
      <c r="EZ5">
        <f>IF(Лист2!16:16,"AAAAAF++85s=",0)</f>
        <v>0</v>
      </c>
      <c r="FA5" t="e">
        <f>AND(Лист2!A16,"AAAAAF++85w=")</f>
        <v>#VALUE!</v>
      </c>
      <c r="FB5" t="e">
        <f>AND(Лист2!B16,"AAAAAF++850=")</f>
        <v>#VALUE!</v>
      </c>
      <c r="FC5" t="e">
        <f>AND(Лист2!C16,"AAAAAF++854=")</f>
        <v>#VALUE!</v>
      </c>
      <c r="FD5" t="e">
        <f>AND(Лист2!D16,"AAAAAF++858=")</f>
        <v>#VALUE!</v>
      </c>
      <c r="FE5" t="e">
        <f>AND(Лист2!E16,"AAAAAF++86A=")</f>
        <v>#VALUE!</v>
      </c>
      <c r="FF5" t="e">
        <f>AND(Лист2!F16,"AAAAAF++86E=")</f>
        <v>#VALUE!</v>
      </c>
      <c r="FG5" t="e">
        <f>AND(Лист2!G16,"AAAAAF++86I=")</f>
        <v>#VALUE!</v>
      </c>
      <c r="FH5" t="e">
        <f>AND(Лист2!H16,"AAAAAF++86M=")</f>
        <v>#VALUE!</v>
      </c>
      <c r="FI5" t="e">
        <f>AND(Лист2!I16,"AAAAAF++86Q=")</f>
        <v>#VALUE!</v>
      </c>
      <c r="FJ5" t="e">
        <f>AND(Лист2!J16,"AAAAAF++86U=")</f>
        <v>#VALUE!</v>
      </c>
      <c r="FK5" t="e">
        <f>AND(Лист2!K16,"AAAAAF++86Y=")</f>
        <v>#VALUE!</v>
      </c>
      <c r="FL5" t="e">
        <f>AND(Лист2!L16,"AAAAAF++86c=")</f>
        <v>#VALUE!</v>
      </c>
      <c r="FM5" t="e">
        <f>AND(Лист2!M16,"AAAAAF++86g=")</f>
        <v>#VALUE!</v>
      </c>
      <c r="FN5">
        <f>IF(Лист2!17:17,"AAAAAF++86k=",0)</f>
        <v>0</v>
      </c>
      <c r="FO5" t="e">
        <f>AND(Лист2!A17,"AAAAAF++86o=")</f>
        <v>#VALUE!</v>
      </c>
      <c r="FP5" t="e">
        <f>AND(Лист2!B17,"AAAAAF++86s=")</f>
        <v>#VALUE!</v>
      </c>
      <c r="FQ5" t="e">
        <f>AND(Лист2!C17,"AAAAAF++86w=")</f>
        <v>#VALUE!</v>
      </c>
      <c r="FR5" t="e">
        <f>AND(Лист2!D17,"AAAAAF++860=")</f>
        <v>#VALUE!</v>
      </c>
      <c r="FS5" t="e">
        <f>AND(Лист2!E17,"AAAAAF++864=")</f>
        <v>#VALUE!</v>
      </c>
      <c r="FT5" t="e">
        <f>AND(Лист2!F17,"AAAAAF++868=")</f>
        <v>#VALUE!</v>
      </c>
      <c r="FU5" t="e">
        <f>AND(Лист2!G17,"AAAAAF++87A=")</f>
        <v>#VALUE!</v>
      </c>
      <c r="FV5" t="e">
        <f>AND(Лист2!H17,"AAAAAF++87E=")</f>
        <v>#VALUE!</v>
      </c>
      <c r="FW5" t="e">
        <f>AND(Лист2!I17,"AAAAAF++87I=")</f>
        <v>#VALUE!</v>
      </c>
      <c r="FX5" t="e">
        <f>AND(Лист2!J17,"AAAAAF++87M=")</f>
        <v>#VALUE!</v>
      </c>
      <c r="FY5" t="e">
        <f>AND(Лист2!K17,"AAAAAF++87Q=")</f>
        <v>#VALUE!</v>
      </c>
      <c r="FZ5" t="e">
        <f>AND(Лист2!L17,"AAAAAF++87U=")</f>
        <v>#VALUE!</v>
      </c>
      <c r="GA5" t="e">
        <f>AND(Лист2!M17,"AAAAAF++87Y=")</f>
        <v>#VALUE!</v>
      </c>
      <c r="GB5">
        <f>IF(Лист2!18:18,"AAAAAF++87c=",0)</f>
        <v>0</v>
      </c>
      <c r="GC5" t="e">
        <f>AND(Лист2!A18,"AAAAAF++87g=")</f>
        <v>#VALUE!</v>
      </c>
      <c r="GD5" t="e">
        <f>AND(Лист2!B18,"AAAAAF++87k=")</f>
        <v>#VALUE!</v>
      </c>
      <c r="GE5" t="e">
        <f>AND(Лист2!C18,"AAAAAF++87o=")</f>
        <v>#VALUE!</v>
      </c>
      <c r="GF5" t="e">
        <f>AND(Лист2!D18,"AAAAAF++87s=")</f>
        <v>#VALUE!</v>
      </c>
      <c r="GG5" t="e">
        <f>AND(Лист2!E18,"AAAAAF++87w=")</f>
        <v>#VALUE!</v>
      </c>
      <c r="GH5" t="e">
        <f>AND(Лист2!F18,"AAAAAF++870=")</f>
        <v>#VALUE!</v>
      </c>
      <c r="GI5" t="e">
        <f>AND(Лист2!G18,"AAAAAF++874=")</f>
        <v>#VALUE!</v>
      </c>
      <c r="GJ5" t="e">
        <f>AND(Лист2!H18,"AAAAAF++878=")</f>
        <v>#VALUE!</v>
      </c>
      <c r="GK5" t="e">
        <f>AND(Лист2!I18,"AAAAAF++88A=")</f>
        <v>#VALUE!</v>
      </c>
      <c r="GL5" t="e">
        <f>AND(Лист2!J18,"AAAAAF++88E=")</f>
        <v>#VALUE!</v>
      </c>
      <c r="GM5" t="e">
        <f>AND(Лист2!K18,"AAAAAF++88I=")</f>
        <v>#VALUE!</v>
      </c>
      <c r="GN5" t="e">
        <f>AND(Лист2!L18,"AAAAAF++88M=")</f>
        <v>#VALUE!</v>
      </c>
      <c r="GO5" t="e">
        <f>AND(Лист2!M18,"AAAAAF++88Q=")</f>
        <v>#VALUE!</v>
      </c>
      <c r="GP5">
        <f>IF(Лист2!19:19,"AAAAAF++88U=",0)</f>
        <v>0</v>
      </c>
      <c r="GQ5" t="e">
        <f>AND(Лист2!A19,"AAAAAF++88Y=")</f>
        <v>#VALUE!</v>
      </c>
      <c r="GR5" t="e">
        <f>AND(Лист2!B19,"AAAAAF++88c=")</f>
        <v>#VALUE!</v>
      </c>
      <c r="GS5" t="e">
        <f>AND(Лист2!C19,"AAAAAF++88g=")</f>
        <v>#VALUE!</v>
      </c>
      <c r="GT5" t="e">
        <f>AND(Лист2!D19,"AAAAAF++88k=")</f>
        <v>#VALUE!</v>
      </c>
      <c r="GU5" t="e">
        <f>AND(Лист2!E19,"AAAAAF++88o=")</f>
        <v>#VALUE!</v>
      </c>
      <c r="GV5" t="e">
        <f>AND(Лист2!F19,"AAAAAF++88s=")</f>
        <v>#VALUE!</v>
      </c>
      <c r="GW5" t="e">
        <f>AND(Лист2!G19,"AAAAAF++88w=")</f>
        <v>#VALUE!</v>
      </c>
      <c r="GX5" t="e">
        <f>AND(Лист2!H19,"AAAAAF++880=")</f>
        <v>#VALUE!</v>
      </c>
      <c r="GY5" t="e">
        <f>AND(Лист2!I19,"AAAAAF++884=")</f>
        <v>#VALUE!</v>
      </c>
      <c r="GZ5" t="e">
        <f>AND(Лист2!J19,"AAAAAF++888=")</f>
        <v>#VALUE!</v>
      </c>
      <c r="HA5" t="e">
        <f>AND(Лист2!K19,"AAAAAF++89A=")</f>
        <v>#VALUE!</v>
      </c>
      <c r="HB5" t="e">
        <f>AND(Лист2!L19,"AAAAAF++89E=")</f>
        <v>#VALUE!</v>
      </c>
      <c r="HC5" t="e">
        <f>AND(Лист2!M19,"AAAAAF++89I=")</f>
        <v>#VALUE!</v>
      </c>
      <c r="HD5">
        <f>IF(Лист2!20:20,"AAAAAF++89M=",0)</f>
        <v>0</v>
      </c>
      <c r="HE5" t="e">
        <f>AND(Лист2!A20,"AAAAAF++89Q=")</f>
        <v>#VALUE!</v>
      </c>
      <c r="HF5" t="e">
        <f>AND(Лист2!B20,"AAAAAF++89U=")</f>
        <v>#VALUE!</v>
      </c>
      <c r="HG5" t="e">
        <f>AND(Лист2!C20,"AAAAAF++89Y=")</f>
        <v>#VALUE!</v>
      </c>
      <c r="HH5" t="e">
        <f>AND(Лист2!D20,"AAAAAF++89c=")</f>
        <v>#VALUE!</v>
      </c>
      <c r="HI5" t="e">
        <f>AND(Лист2!E20,"AAAAAF++89g=")</f>
        <v>#VALUE!</v>
      </c>
      <c r="HJ5" t="e">
        <f>AND(Лист2!F20,"AAAAAF++89k=")</f>
        <v>#VALUE!</v>
      </c>
      <c r="HK5" t="e">
        <f>AND(Лист2!G20,"AAAAAF++89o=")</f>
        <v>#VALUE!</v>
      </c>
      <c r="HL5" t="e">
        <f>AND(Лист2!H20,"AAAAAF++89s=")</f>
        <v>#VALUE!</v>
      </c>
      <c r="HM5" t="e">
        <f>AND(Лист2!I20,"AAAAAF++89w=")</f>
        <v>#VALUE!</v>
      </c>
      <c r="HN5" t="e">
        <f>AND(Лист2!J20,"AAAAAF++890=")</f>
        <v>#VALUE!</v>
      </c>
      <c r="HO5" t="e">
        <f>AND(Лист2!K20,"AAAAAF++894=")</f>
        <v>#VALUE!</v>
      </c>
      <c r="HP5" t="e">
        <f>AND(Лист2!L20,"AAAAAF++898=")</f>
        <v>#VALUE!</v>
      </c>
      <c r="HQ5" t="e">
        <f>AND(Лист2!M20,"AAAAAF++8+A=")</f>
        <v>#VALUE!</v>
      </c>
      <c r="HR5">
        <f>IF(Лист2!21:21,"AAAAAF++8+E=",0)</f>
        <v>0</v>
      </c>
      <c r="HS5" t="e">
        <f>AND(Лист2!A21,"AAAAAF++8+I=")</f>
        <v>#VALUE!</v>
      </c>
      <c r="HT5" t="e">
        <f>AND(Лист2!B21,"AAAAAF++8+M=")</f>
        <v>#VALUE!</v>
      </c>
      <c r="HU5" t="e">
        <f>AND(Лист2!C21,"AAAAAF++8+Q=")</f>
        <v>#VALUE!</v>
      </c>
      <c r="HV5" t="e">
        <f>AND(Лист2!D21,"AAAAAF++8+U=")</f>
        <v>#VALUE!</v>
      </c>
      <c r="HW5" t="e">
        <f>AND(Лист2!E21,"AAAAAF++8+Y=")</f>
        <v>#VALUE!</v>
      </c>
      <c r="HX5" t="e">
        <f>AND(Лист2!F21,"AAAAAF++8+c=")</f>
        <v>#VALUE!</v>
      </c>
      <c r="HY5" t="e">
        <f>AND(Лист2!G21,"AAAAAF++8+g=")</f>
        <v>#VALUE!</v>
      </c>
      <c r="HZ5" t="e">
        <f>AND(Лист2!H21,"AAAAAF++8+k=")</f>
        <v>#VALUE!</v>
      </c>
      <c r="IA5" t="e">
        <f>AND(Лист2!I21,"AAAAAF++8+o=")</f>
        <v>#VALUE!</v>
      </c>
      <c r="IB5" t="e">
        <f>AND(Лист2!J21,"AAAAAF++8+s=")</f>
        <v>#VALUE!</v>
      </c>
      <c r="IC5" t="e">
        <f>AND(Лист2!K21,"AAAAAF++8+w=")</f>
        <v>#VALUE!</v>
      </c>
      <c r="ID5" t="e">
        <f>AND(Лист2!L21,"AAAAAF++8+0=")</f>
        <v>#VALUE!</v>
      </c>
      <c r="IE5" t="e">
        <f>AND(Лист2!M21,"AAAAAF++8+4=")</f>
        <v>#VALUE!</v>
      </c>
      <c r="IF5">
        <f>IF(Лист2!22:22,"AAAAAF++8+8=",0)</f>
        <v>0</v>
      </c>
      <c r="IG5" t="e">
        <f>AND(Лист2!A22,"AAAAAF++8/A=")</f>
        <v>#VALUE!</v>
      </c>
      <c r="IH5" t="e">
        <f>AND(Лист2!B22,"AAAAAF++8/E=")</f>
        <v>#VALUE!</v>
      </c>
      <c r="II5" t="e">
        <f>AND(Лист2!C22,"AAAAAF++8/I=")</f>
        <v>#VALUE!</v>
      </c>
      <c r="IJ5" t="e">
        <f>AND(Лист2!D22,"AAAAAF++8/M=")</f>
        <v>#VALUE!</v>
      </c>
      <c r="IK5" t="e">
        <f>AND(Лист2!E22,"AAAAAF++8/Q=")</f>
        <v>#VALUE!</v>
      </c>
      <c r="IL5" t="e">
        <f>AND(Лист2!F22,"AAAAAF++8/U=")</f>
        <v>#VALUE!</v>
      </c>
      <c r="IM5" t="e">
        <f>AND(Лист2!G22,"AAAAAF++8/Y=")</f>
        <v>#VALUE!</v>
      </c>
      <c r="IN5" t="e">
        <f>AND(Лист2!H22,"AAAAAF++8/c=")</f>
        <v>#VALUE!</v>
      </c>
      <c r="IO5" t="e">
        <f>AND(Лист2!I22,"AAAAAF++8/g=")</f>
        <v>#VALUE!</v>
      </c>
      <c r="IP5" t="e">
        <f>AND(Лист2!J22,"AAAAAF++8/k=")</f>
        <v>#VALUE!</v>
      </c>
      <c r="IQ5" t="e">
        <f>AND(Лист2!K22,"AAAAAF++8/o=")</f>
        <v>#VALUE!</v>
      </c>
      <c r="IR5" t="e">
        <f>AND(Лист2!L22,"AAAAAF++8/s=")</f>
        <v>#VALUE!</v>
      </c>
      <c r="IS5" t="e">
        <f>AND(Лист2!M22,"AAAAAF++8/w=")</f>
        <v>#VALUE!</v>
      </c>
      <c r="IT5">
        <f>IF(Лист2!23:23,"AAAAAF++8/0=",0)</f>
        <v>0</v>
      </c>
      <c r="IU5" t="e">
        <f>AND(Лист2!A23,"AAAAAF++8/4=")</f>
        <v>#VALUE!</v>
      </c>
      <c r="IV5" t="e">
        <f>AND(Лист2!B23,"AAAAAF++8/8=")</f>
        <v>#VALUE!</v>
      </c>
    </row>
    <row r="6" spans="1:256" ht="12.75">
      <c r="A6" t="e">
        <f>AND(Лист2!C23,"AAAAAH259wA=")</f>
        <v>#VALUE!</v>
      </c>
      <c r="B6" t="e">
        <f>AND(Лист2!D23,"AAAAAH259wE=")</f>
        <v>#VALUE!</v>
      </c>
      <c r="C6" t="e">
        <f>AND(Лист2!E23,"AAAAAH259wI=")</f>
        <v>#VALUE!</v>
      </c>
      <c r="D6" t="e">
        <f>AND(Лист2!F23,"AAAAAH259wM=")</f>
        <v>#VALUE!</v>
      </c>
      <c r="E6" t="e">
        <f>AND(Лист2!G23,"AAAAAH259wQ=")</f>
        <v>#VALUE!</v>
      </c>
      <c r="F6" t="e">
        <f>AND(Лист2!H23,"AAAAAH259wU=")</f>
        <v>#VALUE!</v>
      </c>
      <c r="G6" t="e">
        <f>AND(Лист2!I23,"AAAAAH259wY=")</f>
        <v>#VALUE!</v>
      </c>
      <c r="H6" t="e">
        <f>AND(Лист2!J23,"AAAAAH259wc=")</f>
        <v>#VALUE!</v>
      </c>
      <c r="I6" t="e">
        <f>AND(Лист2!K23,"AAAAAH259wg=")</f>
        <v>#VALUE!</v>
      </c>
      <c r="J6" t="e">
        <f>AND(Лист2!L23,"AAAAAH259wk=")</f>
        <v>#VALUE!</v>
      </c>
      <c r="K6" t="e">
        <f>AND(Лист2!M23,"AAAAAH259wo=")</f>
        <v>#VALUE!</v>
      </c>
      <c r="L6">
        <f>IF(Лист2!24:24,"AAAAAH259ws=",0)</f>
        <v>0</v>
      </c>
      <c r="M6" t="e">
        <f>AND(Лист2!A24,"AAAAAH259ww=")</f>
        <v>#VALUE!</v>
      </c>
      <c r="N6" t="e">
        <f>AND(Лист2!B24,"AAAAAH259w0=")</f>
        <v>#VALUE!</v>
      </c>
      <c r="O6" t="e">
        <f>AND(Лист2!C24,"AAAAAH259w4=")</f>
        <v>#VALUE!</v>
      </c>
      <c r="P6" t="e">
        <f>AND(Лист2!D24,"AAAAAH259w8=")</f>
        <v>#VALUE!</v>
      </c>
      <c r="Q6" t="e">
        <f>AND(Лист2!E24,"AAAAAH259xA=")</f>
        <v>#VALUE!</v>
      </c>
      <c r="R6" t="e">
        <f>AND(Лист2!F24,"AAAAAH259xE=")</f>
        <v>#VALUE!</v>
      </c>
      <c r="S6" t="e">
        <f>AND(Лист2!G24,"AAAAAH259xI=")</f>
        <v>#VALUE!</v>
      </c>
      <c r="T6" t="e">
        <f>AND(Лист2!H24,"AAAAAH259xM=")</f>
        <v>#VALUE!</v>
      </c>
      <c r="U6" t="e">
        <f>AND(Лист2!I24,"AAAAAH259xQ=")</f>
        <v>#VALUE!</v>
      </c>
      <c r="V6" t="e">
        <f>AND(Лист2!J24,"AAAAAH259xU=")</f>
        <v>#VALUE!</v>
      </c>
      <c r="W6" t="e">
        <f>AND(Лист2!K24,"AAAAAH259xY=")</f>
        <v>#VALUE!</v>
      </c>
      <c r="X6" t="e">
        <f>AND(Лист2!L24,"AAAAAH259xc=")</f>
        <v>#VALUE!</v>
      </c>
      <c r="Y6" t="e">
        <f>AND(Лист2!M24,"AAAAAH259xg=")</f>
        <v>#VALUE!</v>
      </c>
      <c r="Z6">
        <f>IF(Лист2!25:25,"AAAAAH259xk=",0)</f>
        <v>0</v>
      </c>
      <c r="AA6" t="e">
        <f>AND(Лист2!A25,"AAAAAH259xo=")</f>
        <v>#VALUE!</v>
      </c>
      <c r="AB6" t="e">
        <f>AND(Лист2!B25,"AAAAAH259xs=")</f>
        <v>#VALUE!</v>
      </c>
      <c r="AC6" t="e">
        <f>AND(Лист2!C25,"AAAAAH259xw=")</f>
        <v>#VALUE!</v>
      </c>
      <c r="AD6" t="e">
        <f>AND(Лист2!D25,"AAAAAH259x0=")</f>
        <v>#VALUE!</v>
      </c>
      <c r="AE6" t="e">
        <f>AND(Лист2!E25,"AAAAAH259x4=")</f>
        <v>#VALUE!</v>
      </c>
      <c r="AF6" t="e">
        <f>AND(Лист2!F25,"AAAAAH259x8=")</f>
        <v>#VALUE!</v>
      </c>
      <c r="AG6" t="e">
        <f>AND(Лист2!G25,"AAAAAH259yA=")</f>
        <v>#VALUE!</v>
      </c>
      <c r="AH6" t="e">
        <f>AND(Лист2!H25,"AAAAAH259yE=")</f>
        <v>#VALUE!</v>
      </c>
      <c r="AI6" t="e">
        <f>AND(Лист2!I25,"AAAAAH259yI=")</f>
        <v>#VALUE!</v>
      </c>
      <c r="AJ6" t="e">
        <f>AND(Лист2!J25,"AAAAAH259yM=")</f>
        <v>#VALUE!</v>
      </c>
      <c r="AK6" t="e">
        <f>AND(Лист2!K25,"AAAAAH259yQ=")</f>
        <v>#VALUE!</v>
      </c>
      <c r="AL6" t="e">
        <f>AND(Лист2!L25,"AAAAAH259yU=")</f>
        <v>#VALUE!</v>
      </c>
      <c r="AM6" t="e">
        <f>AND(Лист2!M25,"AAAAAH259yY=")</f>
        <v>#VALUE!</v>
      </c>
      <c r="AN6">
        <f>IF(Лист2!26:26,"AAAAAH259yc=",0)</f>
        <v>0</v>
      </c>
      <c r="AO6" t="e">
        <f>AND(Лист2!A26,"AAAAAH259yg=")</f>
        <v>#VALUE!</v>
      </c>
      <c r="AP6" t="e">
        <f>AND(Лист2!B26,"AAAAAH259yk=")</f>
        <v>#VALUE!</v>
      </c>
      <c r="AQ6" t="e">
        <f>AND(Лист2!C26,"AAAAAH259yo=")</f>
        <v>#VALUE!</v>
      </c>
      <c r="AR6" t="e">
        <f>AND(Лист2!D26,"AAAAAH259ys=")</f>
        <v>#VALUE!</v>
      </c>
      <c r="AS6" t="e">
        <f>AND(Лист2!E26,"AAAAAH259yw=")</f>
        <v>#VALUE!</v>
      </c>
      <c r="AT6" t="e">
        <f>AND(Лист2!F26,"AAAAAH259y0=")</f>
        <v>#VALUE!</v>
      </c>
      <c r="AU6" t="e">
        <f>AND(Лист2!G26,"AAAAAH259y4=")</f>
        <v>#VALUE!</v>
      </c>
      <c r="AV6" t="e">
        <f>AND(Лист2!H26,"AAAAAH259y8=")</f>
        <v>#VALUE!</v>
      </c>
      <c r="AW6" t="e">
        <f>AND(Лист2!I26,"AAAAAH259zA=")</f>
        <v>#VALUE!</v>
      </c>
      <c r="AX6" t="e">
        <f>AND(Лист2!J26,"AAAAAH259zE=")</f>
        <v>#VALUE!</v>
      </c>
      <c r="AY6" t="e">
        <f>AND(Лист2!K26,"AAAAAH259zI=")</f>
        <v>#VALUE!</v>
      </c>
      <c r="AZ6" t="e">
        <f>AND(Лист2!L26,"AAAAAH259zM=")</f>
        <v>#VALUE!</v>
      </c>
      <c r="BA6" t="e">
        <f>AND(Лист2!M26,"AAAAAH259zQ=")</f>
        <v>#VALUE!</v>
      </c>
      <c r="BB6">
        <f>IF(Лист2!27:27,"AAAAAH259zU=",0)</f>
        <v>0</v>
      </c>
      <c r="BC6" t="e">
        <f>AND(Лист2!A27,"AAAAAH259zY=")</f>
        <v>#VALUE!</v>
      </c>
      <c r="BD6" t="e">
        <f>AND(Лист2!B27,"AAAAAH259zc=")</f>
        <v>#VALUE!</v>
      </c>
      <c r="BE6" t="e">
        <f>AND(Лист2!C27,"AAAAAH259zg=")</f>
        <v>#VALUE!</v>
      </c>
      <c r="BF6" t="e">
        <f>AND(Лист2!D27,"AAAAAH259zk=")</f>
        <v>#VALUE!</v>
      </c>
      <c r="BG6" t="e">
        <f>AND(Лист2!E27,"AAAAAH259zo=")</f>
        <v>#VALUE!</v>
      </c>
      <c r="BH6" t="e">
        <f>AND(Лист2!F27,"AAAAAH259zs=")</f>
        <v>#VALUE!</v>
      </c>
      <c r="BI6" t="e">
        <f>AND(Лист2!G27,"AAAAAH259zw=")</f>
        <v>#VALUE!</v>
      </c>
      <c r="BJ6" t="e">
        <f>AND(Лист2!H27,"AAAAAH259z0=")</f>
        <v>#VALUE!</v>
      </c>
      <c r="BK6" t="e">
        <f>AND(Лист2!I27,"AAAAAH259z4=")</f>
        <v>#VALUE!</v>
      </c>
      <c r="BL6" t="e">
        <f>AND(Лист2!J27,"AAAAAH259z8=")</f>
        <v>#VALUE!</v>
      </c>
      <c r="BM6" t="e">
        <f>AND(Лист2!K27,"AAAAAH2590A=")</f>
        <v>#VALUE!</v>
      </c>
      <c r="BN6" t="e">
        <f>AND(Лист2!L27,"AAAAAH2590E=")</f>
        <v>#VALUE!</v>
      </c>
      <c r="BO6" t="e">
        <f>AND(Лист2!M27,"AAAAAH2590I=")</f>
        <v>#VALUE!</v>
      </c>
      <c r="BP6">
        <f>IF(Лист2!28:28,"AAAAAH2590M=",0)</f>
        <v>0</v>
      </c>
      <c r="BQ6" t="e">
        <f>AND(Лист2!A28,"AAAAAH2590Q=")</f>
        <v>#VALUE!</v>
      </c>
      <c r="BR6" t="e">
        <f>AND(Лист2!B28,"AAAAAH2590U=")</f>
        <v>#VALUE!</v>
      </c>
      <c r="BS6" t="e">
        <f>AND(Лист2!C28,"AAAAAH2590Y=")</f>
        <v>#VALUE!</v>
      </c>
      <c r="BT6" t="e">
        <f>AND(Лист2!D28,"AAAAAH2590c=")</f>
        <v>#VALUE!</v>
      </c>
      <c r="BU6" t="e">
        <f>AND(Лист2!E28,"AAAAAH2590g=")</f>
        <v>#VALUE!</v>
      </c>
      <c r="BV6" t="e">
        <f>AND(Лист2!F28,"AAAAAH2590k=")</f>
        <v>#VALUE!</v>
      </c>
      <c r="BW6" t="e">
        <f>AND(Лист2!G28,"AAAAAH2590o=")</f>
        <v>#VALUE!</v>
      </c>
      <c r="BX6" t="e">
        <f>AND(Лист2!H28,"AAAAAH2590s=")</f>
        <v>#VALUE!</v>
      </c>
      <c r="BY6" t="e">
        <f>AND(Лист2!I28,"AAAAAH2590w=")</f>
        <v>#VALUE!</v>
      </c>
      <c r="BZ6" t="e">
        <f>AND(Лист2!J28,"AAAAAH25900=")</f>
        <v>#VALUE!</v>
      </c>
      <c r="CA6" t="e">
        <f>AND(Лист2!K28,"AAAAAH25904=")</f>
        <v>#VALUE!</v>
      </c>
      <c r="CB6" t="e">
        <f>AND(Лист2!L28,"AAAAAH25908=")</f>
        <v>#VALUE!</v>
      </c>
      <c r="CC6" t="e">
        <f>AND(Лист2!M28,"AAAAAH2591A=")</f>
        <v>#VALUE!</v>
      </c>
      <c r="CD6">
        <f>IF(Лист2!29:29,"AAAAAH2591E=",0)</f>
        <v>0</v>
      </c>
      <c r="CE6" t="e">
        <f>AND(Лист2!A29,"AAAAAH2591I=")</f>
        <v>#VALUE!</v>
      </c>
      <c r="CF6" t="e">
        <f>AND(Лист2!B29,"AAAAAH2591M=")</f>
        <v>#VALUE!</v>
      </c>
      <c r="CG6" t="e">
        <f>AND(Лист2!C29,"AAAAAH2591Q=")</f>
        <v>#VALUE!</v>
      </c>
      <c r="CH6" t="e">
        <f>AND(Лист2!D29,"AAAAAH2591U=")</f>
        <v>#VALUE!</v>
      </c>
      <c r="CI6" t="e">
        <f>AND(Лист2!E29,"AAAAAH2591Y=")</f>
        <v>#VALUE!</v>
      </c>
      <c r="CJ6" t="e">
        <f>AND(Лист2!F29,"AAAAAH2591c=")</f>
        <v>#VALUE!</v>
      </c>
      <c r="CK6" t="e">
        <f>AND(Лист2!G29,"AAAAAH2591g=")</f>
        <v>#VALUE!</v>
      </c>
      <c r="CL6" t="e">
        <f>AND(Лист2!H29,"AAAAAH2591k=")</f>
        <v>#VALUE!</v>
      </c>
      <c r="CM6" t="e">
        <f>AND(Лист2!I29,"AAAAAH2591o=")</f>
        <v>#VALUE!</v>
      </c>
      <c r="CN6" t="e">
        <f>AND(Лист2!J29,"AAAAAH2591s=")</f>
        <v>#VALUE!</v>
      </c>
      <c r="CO6" t="e">
        <f>AND(Лист2!K29,"AAAAAH2591w=")</f>
        <v>#VALUE!</v>
      </c>
      <c r="CP6" t="e">
        <f>AND(Лист2!L29,"AAAAAH25910=")</f>
        <v>#VALUE!</v>
      </c>
      <c r="CQ6" t="e">
        <f>AND(Лист2!M29,"AAAAAH25914=")</f>
        <v>#VALUE!</v>
      </c>
      <c r="CR6">
        <f>IF(Лист2!30:30,"AAAAAH25918=",0)</f>
        <v>0</v>
      </c>
      <c r="CS6" t="e">
        <f>AND(Лист2!A30,"AAAAAH2592A=")</f>
        <v>#VALUE!</v>
      </c>
      <c r="CT6" t="e">
        <f>AND(Лист2!B30,"AAAAAH2592E=")</f>
        <v>#VALUE!</v>
      </c>
      <c r="CU6" t="e">
        <f>AND(Лист2!C30,"AAAAAH2592I=")</f>
        <v>#VALUE!</v>
      </c>
      <c r="CV6" t="e">
        <f>AND(Лист2!D30,"AAAAAH2592M=")</f>
        <v>#VALUE!</v>
      </c>
      <c r="CW6" t="e">
        <f>AND(Лист2!E30,"AAAAAH2592Q=")</f>
        <v>#VALUE!</v>
      </c>
      <c r="CX6" t="e">
        <f>AND(Лист2!F30,"AAAAAH2592U=")</f>
        <v>#VALUE!</v>
      </c>
      <c r="CY6" t="e">
        <f>AND(Лист2!G30,"AAAAAH2592Y=")</f>
        <v>#VALUE!</v>
      </c>
      <c r="CZ6" t="e">
        <f>AND(Лист2!H30,"AAAAAH2592c=")</f>
        <v>#VALUE!</v>
      </c>
      <c r="DA6" t="e">
        <f>AND(Лист2!I30,"AAAAAH2592g=")</f>
        <v>#VALUE!</v>
      </c>
      <c r="DB6" t="e">
        <f>AND(Лист2!J30,"AAAAAH2592k=")</f>
        <v>#VALUE!</v>
      </c>
      <c r="DC6" t="e">
        <f>AND(Лист2!K30,"AAAAAH2592o=")</f>
        <v>#VALUE!</v>
      </c>
      <c r="DD6" t="e">
        <f>AND(Лист2!L30,"AAAAAH2592s=")</f>
        <v>#VALUE!</v>
      </c>
      <c r="DE6" t="e">
        <f>AND(Лист2!M30,"AAAAAH2592w=")</f>
        <v>#VALUE!</v>
      </c>
      <c r="DF6">
        <f>IF(Лист2!31:31,"AAAAAH25920=",0)</f>
        <v>0</v>
      </c>
      <c r="DG6" t="e">
        <f>AND(Лист2!A31,"AAAAAH25924=")</f>
        <v>#VALUE!</v>
      </c>
      <c r="DH6" t="e">
        <f>AND(Лист2!B31,"AAAAAH25928=")</f>
        <v>#VALUE!</v>
      </c>
      <c r="DI6" t="e">
        <f>AND(Лист2!C31,"AAAAAH2593A=")</f>
        <v>#VALUE!</v>
      </c>
      <c r="DJ6" t="e">
        <f>AND(Лист2!D31,"AAAAAH2593E=")</f>
        <v>#VALUE!</v>
      </c>
      <c r="DK6" t="e">
        <f>AND(Лист2!E31,"AAAAAH2593I=")</f>
        <v>#VALUE!</v>
      </c>
      <c r="DL6" t="e">
        <f>AND(Лист2!F31,"AAAAAH2593M=")</f>
        <v>#VALUE!</v>
      </c>
      <c r="DM6" t="e">
        <f>AND(Лист2!G31,"AAAAAH2593Q=")</f>
        <v>#VALUE!</v>
      </c>
      <c r="DN6" t="e">
        <f>AND(Лист2!H31,"AAAAAH2593U=")</f>
        <v>#VALUE!</v>
      </c>
      <c r="DO6" t="e">
        <f>AND(Лист2!I31,"AAAAAH2593Y=")</f>
        <v>#VALUE!</v>
      </c>
      <c r="DP6" t="e">
        <f>AND(Лист2!J31,"AAAAAH2593c=")</f>
        <v>#VALUE!</v>
      </c>
      <c r="DQ6" t="e">
        <f>AND(Лист2!K31,"AAAAAH2593g=")</f>
        <v>#VALUE!</v>
      </c>
      <c r="DR6" t="e">
        <f>AND(Лист2!L31,"AAAAAH2593k=")</f>
        <v>#VALUE!</v>
      </c>
      <c r="DS6" t="e">
        <f>AND(Лист2!M31,"AAAAAH2593o=")</f>
        <v>#VALUE!</v>
      </c>
      <c r="DT6">
        <f>IF(Лист2!32:32,"AAAAAH2593s=",0)</f>
        <v>0</v>
      </c>
      <c r="DU6" t="e">
        <f>AND(Лист2!A32,"AAAAAH2593w=")</f>
        <v>#VALUE!</v>
      </c>
      <c r="DV6" t="e">
        <f>AND(Лист2!B32,"AAAAAH25930=")</f>
        <v>#VALUE!</v>
      </c>
      <c r="DW6" t="e">
        <f>AND(Лист2!C32,"AAAAAH25934=")</f>
        <v>#VALUE!</v>
      </c>
      <c r="DX6" t="e">
        <f>AND(Лист2!D32,"AAAAAH25938=")</f>
        <v>#VALUE!</v>
      </c>
      <c r="DY6" t="e">
        <f>AND(Лист2!E32,"AAAAAH2594A=")</f>
        <v>#VALUE!</v>
      </c>
      <c r="DZ6" t="e">
        <f>AND(Лист2!F32,"AAAAAH2594E=")</f>
        <v>#VALUE!</v>
      </c>
      <c r="EA6" t="e">
        <f>AND(Лист2!G32,"AAAAAH2594I=")</f>
        <v>#VALUE!</v>
      </c>
      <c r="EB6" t="e">
        <f>AND(Лист2!H32,"AAAAAH2594M=")</f>
        <v>#VALUE!</v>
      </c>
      <c r="EC6" t="e">
        <f>AND(Лист2!I32,"AAAAAH2594Q=")</f>
        <v>#VALUE!</v>
      </c>
      <c r="ED6" t="e">
        <f>AND(Лист2!J32,"AAAAAH2594U=")</f>
        <v>#VALUE!</v>
      </c>
      <c r="EE6" t="e">
        <f>AND(Лист2!K32,"AAAAAH2594Y=")</f>
        <v>#VALUE!</v>
      </c>
      <c r="EF6" t="e">
        <f>AND(Лист2!L32,"AAAAAH2594c=")</f>
        <v>#VALUE!</v>
      </c>
      <c r="EG6" t="e">
        <f>AND(Лист2!M32,"AAAAAH2594g=")</f>
        <v>#VALUE!</v>
      </c>
      <c r="EH6">
        <f>IF(Лист2!33:33,"AAAAAH2594k=",0)</f>
        <v>0</v>
      </c>
      <c r="EI6" t="e">
        <f>AND(Лист2!A33,"AAAAAH2594o=")</f>
        <v>#VALUE!</v>
      </c>
      <c r="EJ6" t="e">
        <f>AND(Лист2!B33,"AAAAAH2594s=")</f>
        <v>#VALUE!</v>
      </c>
      <c r="EK6" t="e">
        <f>AND(Лист2!C33,"AAAAAH2594w=")</f>
        <v>#VALUE!</v>
      </c>
      <c r="EL6" t="e">
        <f>AND(Лист2!D33,"AAAAAH25940=")</f>
        <v>#VALUE!</v>
      </c>
      <c r="EM6" t="e">
        <f>AND(Лист2!E33,"AAAAAH25944=")</f>
        <v>#VALUE!</v>
      </c>
      <c r="EN6" t="e">
        <f>AND(Лист2!F33,"AAAAAH25948=")</f>
        <v>#VALUE!</v>
      </c>
      <c r="EO6" t="e">
        <f>AND(Лист2!G33,"AAAAAH2595A=")</f>
        <v>#VALUE!</v>
      </c>
      <c r="EP6" t="e">
        <f>AND(Лист2!H33,"AAAAAH2595E=")</f>
        <v>#VALUE!</v>
      </c>
      <c r="EQ6" t="e">
        <f>AND(Лист2!I33,"AAAAAH2595I=")</f>
        <v>#VALUE!</v>
      </c>
      <c r="ER6" t="e">
        <f>AND(Лист2!J33,"AAAAAH2595M=")</f>
        <v>#VALUE!</v>
      </c>
      <c r="ES6" t="e">
        <f>AND(Лист2!K33,"AAAAAH2595Q=")</f>
        <v>#VALUE!</v>
      </c>
      <c r="ET6" t="e">
        <f>AND(Лист2!L33,"AAAAAH2595U=")</f>
        <v>#VALUE!</v>
      </c>
      <c r="EU6" t="e">
        <f>AND(Лист2!M33,"AAAAAH2595Y=")</f>
        <v>#VALUE!</v>
      </c>
      <c r="EV6">
        <f>IF(Лист2!34:34,"AAAAAH2595c=",0)</f>
        <v>0</v>
      </c>
      <c r="EW6" t="e">
        <f>AND(Лист2!A34,"AAAAAH2595g=")</f>
        <v>#VALUE!</v>
      </c>
      <c r="EX6" t="e">
        <f>AND(Лист2!B34,"AAAAAH2595k=")</f>
        <v>#VALUE!</v>
      </c>
      <c r="EY6" t="e">
        <f>AND(Лист2!C34,"AAAAAH2595o=")</f>
        <v>#VALUE!</v>
      </c>
      <c r="EZ6" t="e">
        <f>AND(Лист2!D34,"AAAAAH2595s=")</f>
        <v>#VALUE!</v>
      </c>
      <c r="FA6" t="e">
        <f>AND(Лист2!E34,"AAAAAH2595w=")</f>
        <v>#VALUE!</v>
      </c>
      <c r="FB6" t="e">
        <f>AND(Лист2!F34,"AAAAAH25950=")</f>
        <v>#VALUE!</v>
      </c>
      <c r="FC6" t="e">
        <f>AND(Лист2!G34,"AAAAAH25954=")</f>
        <v>#VALUE!</v>
      </c>
      <c r="FD6" t="e">
        <f>AND(Лист2!H34,"AAAAAH25958=")</f>
        <v>#VALUE!</v>
      </c>
      <c r="FE6" t="e">
        <f>AND(Лист2!I34,"AAAAAH2596A=")</f>
        <v>#VALUE!</v>
      </c>
      <c r="FF6" t="e">
        <f>AND(Лист2!J34,"AAAAAH2596E=")</f>
        <v>#VALUE!</v>
      </c>
      <c r="FG6" t="e">
        <f>AND(Лист2!K34,"AAAAAH2596I=")</f>
        <v>#VALUE!</v>
      </c>
      <c r="FH6" t="e">
        <f>AND(Лист2!L34,"AAAAAH2596M=")</f>
        <v>#VALUE!</v>
      </c>
      <c r="FI6" t="e">
        <f>AND(Лист2!M34,"AAAAAH2596Q=")</f>
        <v>#VALUE!</v>
      </c>
      <c r="FJ6">
        <f>IF(Лист2!35:35,"AAAAAH2596U=",0)</f>
        <v>0</v>
      </c>
      <c r="FK6" t="e">
        <f>AND(Лист2!A35,"AAAAAH2596Y=")</f>
        <v>#VALUE!</v>
      </c>
      <c r="FL6" t="e">
        <f>AND(Лист2!B35,"AAAAAH2596c=")</f>
        <v>#VALUE!</v>
      </c>
      <c r="FM6" t="e">
        <f>AND(Лист2!C35,"AAAAAH2596g=")</f>
        <v>#VALUE!</v>
      </c>
      <c r="FN6" t="e">
        <f>AND(Лист2!D35,"AAAAAH2596k=")</f>
        <v>#VALUE!</v>
      </c>
      <c r="FO6" t="e">
        <f>AND(Лист2!E35,"AAAAAH2596o=")</f>
        <v>#VALUE!</v>
      </c>
      <c r="FP6" t="e">
        <f>AND(Лист2!F35,"AAAAAH2596s=")</f>
        <v>#VALUE!</v>
      </c>
      <c r="FQ6" t="e">
        <f>AND(Лист2!G35,"AAAAAH2596w=")</f>
        <v>#VALUE!</v>
      </c>
      <c r="FR6" t="e">
        <f>AND(Лист2!H35,"AAAAAH25960=")</f>
        <v>#VALUE!</v>
      </c>
      <c r="FS6" t="e">
        <f>AND(Лист2!I35,"AAAAAH25964=")</f>
        <v>#VALUE!</v>
      </c>
      <c r="FT6" t="e">
        <f>AND(Лист2!J35,"AAAAAH25968=")</f>
        <v>#VALUE!</v>
      </c>
      <c r="FU6" t="e">
        <f>AND(Лист2!K35,"AAAAAH2597A=")</f>
        <v>#VALUE!</v>
      </c>
      <c r="FV6" t="e">
        <f>AND(Лист2!L35,"AAAAAH2597E=")</f>
        <v>#VALUE!</v>
      </c>
      <c r="FW6" t="e">
        <f>AND(Лист2!M35,"AAAAAH2597I=")</f>
        <v>#VALUE!</v>
      </c>
      <c r="FX6">
        <f>IF(Лист2!36:36,"AAAAAH2597M=",0)</f>
        <v>0</v>
      </c>
      <c r="FY6" t="e">
        <f>AND(Лист2!A36,"AAAAAH2597Q=")</f>
        <v>#VALUE!</v>
      </c>
      <c r="FZ6" t="e">
        <f>AND(Лист2!B36,"AAAAAH2597U=")</f>
        <v>#VALUE!</v>
      </c>
      <c r="GA6" t="e">
        <f>AND(Лист2!C36,"AAAAAH2597Y=")</f>
        <v>#VALUE!</v>
      </c>
      <c r="GB6" t="e">
        <f>AND(Лист2!D36,"AAAAAH2597c=")</f>
        <v>#VALUE!</v>
      </c>
      <c r="GC6" t="e">
        <f>AND(Лист2!E36,"AAAAAH2597g=")</f>
        <v>#VALUE!</v>
      </c>
      <c r="GD6" t="e">
        <f>AND(Лист2!F36,"AAAAAH2597k=")</f>
        <v>#VALUE!</v>
      </c>
      <c r="GE6" t="e">
        <f>AND(Лист2!G36,"AAAAAH2597o=")</f>
        <v>#VALUE!</v>
      </c>
      <c r="GF6" t="e">
        <f>AND(Лист2!H36,"AAAAAH2597s=")</f>
        <v>#VALUE!</v>
      </c>
      <c r="GG6" t="e">
        <f>AND(Лист2!I36,"AAAAAH2597w=")</f>
        <v>#VALUE!</v>
      </c>
      <c r="GH6" t="e">
        <f>AND(Лист2!J36,"AAAAAH25970=")</f>
        <v>#VALUE!</v>
      </c>
      <c r="GI6" t="e">
        <f>AND(Лист2!K36,"AAAAAH25974=")</f>
        <v>#VALUE!</v>
      </c>
      <c r="GJ6" t="e">
        <f>AND(Лист2!L36,"AAAAAH25978=")</f>
        <v>#VALUE!</v>
      </c>
      <c r="GK6" t="e">
        <f>AND(Лист2!M36,"AAAAAH2598A=")</f>
        <v>#VALUE!</v>
      </c>
      <c r="GL6">
        <f>IF(Лист2!37:37,"AAAAAH2598E=",0)</f>
        <v>0</v>
      </c>
      <c r="GM6" t="e">
        <f>AND(Лист2!A37,"AAAAAH2598I=")</f>
        <v>#VALUE!</v>
      </c>
      <c r="GN6" t="e">
        <f>AND(Лист2!B37,"AAAAAH2598M=")</f>
        <v>#VALUE!</v>
      </c>
      <c r="GO6" t="e">
        <f>AND(Лист2!C37,"AAAAAH2598Q=")</f>
        <v>#VALUE!</v>
      </c>
      <c r="GP6" t="e">
        <f>AND(Лист2!D37,"AAAAAH2598U=")</f>
        <v>#VALUE!</v>
      </c>
      <c r="GQ6" t="e">
        <f>AND(Лист2!E37,"AAAAAH2598Y=")</f>
        <v>#VALUE!</v>
      </c>
      <c r="GR6" t="e">
        <f>AND(Лист2!F37,"AAAAAH2598c=")</f>
        <v>#VALUE!</v>
      </c>
      <c r="GS6" t="e">
        <f>AND(Лист2!G37,"AAAAAH2598g=")</f>
        <v>#VALUE!</v>
      </c>
      <c r="GT6" t="e">
        <f>AND(Лист2!H37,"AAAAAH2598k=")</f>
        <v>#VALUE!</v>
      </c>
      <c r="GU6" t="e">
        <f>AND(Лист2!I37,"AAAAAH2598o=")</f>
        <v>#VALUE!</v>
      </c>
      <c r="GV6" t="e">
        <f>AND(Лист2!J37,"AAAAAH2598s=")</f>
        <v>#VALUE!</v>
      </c>
      <c r="GW6" t="e">
        <f>AND(Лист2!K37,"AAAAAH2598w=")</f>
        <v>#VALUE!</v>
      </c>
      <c r="GX6" t="e">
        <f>AND(Лист2!L37,"AAAAAH25980=")</f>
        <v>#VALUE!</v>
      </c>
      <c r="GY6" t="e">
        <f>AND(Лист2!M37,"AAAAAH25984=")</f>
        <v>#VALUE!</v>
      </c>
      <c r="GZ6">
        <f>IF(Лист2!38:38,"AAAAAH25988=",0)</f>
        <v>0</v>
      </c>
      <c r="HA6" t="e">
        <f>AND(Лист2!A38,"AAAAAH2599A=")</f>
        <v>#VALUE!</v>
      </c>
      <c r="HB6" t="e">
        <f>AND(Лист2!B38,"AAAAAH2599E=")</f>
        <v>#VALUE!</v>
      </c>
      <c r="HC6" t="e">
        <f>AND(Лист2!C38,"AAAAAH2599I=")</f>
        <v>#VALUE!</v>
      </c>
      <c r="HD6" t="e">
        <f>AND(Лист2!D38,"AAAAAH2599M=")</f>
        <v>#VALUE!</v>
      </c>
      <c r="HE6" t="e">
        <f>AND(Лист2!E38,"AAAAAH2599Q=")</f>
        <v>#VALUE!</v>
      </c>
      <c r="HF6" t="e">
        <f>AND(Лист2!F38,"AAAAAH2599U=")</f>
        <v>#VALUE!</v>
      </c>
      <c r="HG6" t="e">
        <f>AND(Лист2!G38,"AAAAAH2599Y=")</f>
        <v>#VALUE!</v>
      </c>
      <c r="HH6" t="e">
        <f>AND(Лист2!H38,"AAAAAH2599c=")</f>
        <v>#VALUE!</v>
      </c>
      <c r="HI6" t="e">
        <f>AND(Лист2!I38,"AAAAAH2599g=")</f>
        <v>#VALUE!</v>
      </c>
      <c r="HJ6" t="e">
        <f>AND(Лист2!J38,"AAAAAH2599k=")</f>
        <v>#VALUE!</v>
      </c>
      <c r="HK6" t="e">
        <f>AND(Лист2!K38,"AAAAAH2599o=")</f>
        <v>#VALUE!</v>
      </c>
      <c r="HL6" t="e">
        <f>AND(Лист2!L38,"AAAAAH2599s=")</f>
        <v>#VALUE!</v>
      </c>
      <c r="HM6" t="e">
        <f>AND(Лист2!M38,"AAAAAH2599w=")</f>
        <v>#VALUE!</v>
      </c>
      <c r="HN6">
        <f>IF(Лист2!39:39,"AAAAAH25990=",0)</f>
        <v>0</v>
      </c>
      <c r="HO6" t="e">
        <f>AND(Лист2!A39,"AAAAAH25994=")</f>
        <v>#VALUE!</v>
      </c>
      <c r="HP6" t="e">
        <f>AND(Лист2!B39,"AAAAAH25998=")</f>
        <v>#VALUE!</v>
      </c>
      <c r="HQ6" t="e">
        <f>AND(Лист2!C39,"AAAAAH259+A=")</f>
        <v>#VALUE!</v>
      </c>
      <c r="HR6" t="e">
        <f>AND(Лист2!D39,"AAAAAH259+E=")</f>
        <v>#VALUE!</v>
      </c>
      <c r="HS6" t="e">
        <f>AND(Лист2!E39,"AAAAAH259+I=")</f>
        <v>#VALUE!</v>
      </c>
      <c r="HT6" t="e">
        <f>AND(Лист2!F39,"AAAAAH259+M=")</f>
        <v>#VALUE!</v>
      </c>
      <c r="HU6" t="e">
        <f>AND(Лист2!G39,"AAAAAH259+Q=")</f>
        <v>#VALUE!</v>
      </c>
      <c r="HV6" t="e">
        <f>AND(Лист2!H39,"AAAAAH259+U=")</f>
        <v>#VALUE!</v>
      </c>
      <c r="HW6" t="e">
        <f>AND(Лист2!I39,"AAAAAH259+Y=")</f>
        <v>#VALUE!</v>
      </c>
      <c r="HX6" t="e">
        <f>AND(Лист2!J39,"AAAAAH259+c=")</f>
        <v>#VALUE!</v>
      </c>
      <c r="HY6" t="e">
        <f>AND(Лист2!K39,"AAAAAH259+g=")</f>
        <v>#VALUE!</v>
      </c>
      <c r="HZ6" t="e">
        <f>AND(Лист2!L39,"AAAAAH259+k=")</f>
        <v>#VALUE!</v>
      </c>
      <c r="IA6" t="e">
        <f>AND(Лист2!M39,"AAAAAH259+o=")</f>
        <v>#VALUE!</v>
      </c>
      <c r="IB6">
        <f>IF(Лист2!40:40,"AAAAAH259+s=",0)</f>
        <v>0</v>
      </c>
      <c r="IC6" t="e">
        <f>AND(Лист2!A40,"AAAAAH259+w=")</f>
        <v>#VALUE!</v>
      </c>
      <c r="ID6" t="e">
        <f>AND(Лист2!B40,"AAAAAH259+0=")</f>
        <v>#VALUE!</v>
      </c>
      <c r="IE6" t="e">
        <f>AND(Лист2!C40,"AAAAAH259+4=")</f>
        <v>#VALUE!</v>
      </c>
      <c r="IF6" t="e">
        <f>AND(Лист2!D40,"AAAAAH259+8=")</f>
        <v>#VALUE!</v>
      </c>
      <c r="IG6" t="e">
        <f>AND(Лист2!E40,"AAAAAH259/A=")</f>
        <v>#VALUE!</v>
      </c>
      <c r="IH6" t="e">
        <f>AND(Лист2!F40,"AAAAAH259/E=")</f>
        <v>#VALUE!</v>
      </c>
      <c r="II6" t="e">
        <f>AND(Лист2!G40,"AAAAAH259/I=")</f>
        <v>#VALUE!</v>
      </c>
      <c r="IJ6" t="e">
        <f>AND(Лист2!H40,"AAAAAH259/M=")</f>
        <v>#VALUE!</v>
      </c>
      <c r="IK6" t="e">
        <f>AND(Лист2!I40,"AAAAAH259/Q=")</f>
        <v>#VALUE!</v>
      </c>
      <c r="IL6" t="e">
        <f>AND(Лист2!J40,"AAAAAH259/U=")</f>
        <v>#VALUE!</v>
      </c>
      <c r="IM6" t="e">
        <f>AND(Лист2!K40,"AAAAAH259/Y=")</f>
        <v>#VALUE!</v>
      </c>
      <c r="IN6" t="e">
        <f>AND(Лист2!L40,"AAAAAH259/c=")</f>
        <v>#VALUE!</v>
      </c>
      <c r="IO6" t="e">
        <f>AND(Лист2!M40,"AAAAAH259/g=")</f>
        <v>#VALUE!</v>
      </c>
      <c r="IP6">
        <f>IF(Лист2!41:41,"AAAAAH259/k=",0)</f>
        <v>0</v>
      </c>
      <c r="IQ6" t="e">
        <f>AND(Лист2!A41,"AAAAAH259/o=")</f>
        <v>#VALUE!</v>
      </c>
      <c r="IR6" t="e">
        <f>AND(Лист2!B41,"AAAAAH259/s=")</f>
        <v>#VALUE!</v>
      </c>
      <c r="IS6" t="e">
        <f>AND(Лист2!C41,"AAAAAH259/w=")</f>
        <v>#VALUE!</v>
      </c>
      <c r="IT6" t="e">
        <f>AND(Лист2!D41,"AAAAAH259/0=")</f>
        <v>#VALUE!</v>
      </c>
      <c r="IU6" t="e">
        <f>AND(Лист2!E41,"AAAAAH259/4=")</f>
        <v>#VALUE!</v>
      </c>
      <c r="IV6" t="e">
        <f>AND(Лист2!F41,"AAAAAH259/8=")</f>
        <v>#VALUE!</v>
      </c>
    </row>
    <row r="7" spans="1:256" ht="12.75">
      <c r="A7" t="e">
        <f>AND(Лист2!G41,"AAAAAHeb3wA=")</f>
        <v>#VALUE!</v>
      </c>
      <c r="B7" t="e">
        <f>AND(Лист2!H41,"AAAAAHeb3wE=")</f>
        <v>#VALUE!</v>
      </c>
      <c r="C7" t="e">
        <f>AND(Лист2!I41,"AAAAAHeb3wI=")</f>
        <v>#VALUE!</v>
      </c>
      <c r="D7" t="e">
        <f>AND(Лист2!J41,"AAAAAHeb3wM=")</f>
        <v>#VALUE!</v>
      </c>
      <c r="E7" t="e">
        <f>AND(Лист2!K41,"AAAAAHeb3wQ=")</f>
        <v>#VALUE!</v>
      </c>
      <c r="F7" t="e">
        <f>AND(Лист2!L41,"AAAAAHeb3wU=")</f>
        <v>#VALUE!</v>
      </c>
      <c r="G7" t="e">
        <f>AND(Лист2!M41,"AAAAAHeb3wY=")</f>
        <v>#VALUE!</v>
      </c>
      <c r="H7">
        <f>IF(Лист2!42:42,"AAAAAHeb3wc=",0)</f>
        <v>0</v>
      </c>
      <c r="I7" t="e">
        <f>AND(Лист2!A42,"AAAAAHeb3wg=")</f>
        <v>#VALUE!</v>
      </c>
      <c r="J7" t="e">
        <f>AND(Лист2!B42,"AAAAAHeb3wk=")</f>
        <v>#VALUE!</v>
      </c>
      <c r="K7" t="e">
        <f>AND(Лист2!C42,"AAAAAHeb3wo=")</f>
        <v>#VALUE!</v>
      </c>
      <c r="L7" t="e">
        <f>AND(Лист2!D42,"AAAAAHeb3ws=")</f>
        <v>#VALUE!</v>
      </c>
      <c r="M7" t="e">
        <f>AND(Лист2!E42,"AAAAAHeb3ww=")</f>
        <v>#VALUE!</v>
      </c>
      <c r="N7" t="e">
        <f>AND(Лист2!F42,"AAAAAHeb3w0=")</f>
        <v>#VALUE!</v>
      </c>
      <c r="O7" t="e">
        <f>AND(Лист2!G42,"AAAAAHeb3w4=")</f>
        <v>#VALUE!</v>
      </c>
      <c r="P7" t="e">
        <f>AND(Лист2!H42,"AAAAAHeb3w8=")</f>
        <v>#VALUE!</v>
      </c>
      <c r="Q7" t="e">
        <f>AND(Лист2!I42,"AAAAAHeb3xA=")</f>
        <v>#VALUE!</v>
      </c>
      <c r="R7" t="e">
        <f>AND(Лист2!J42,"AAAAAHeb3xE=")</f>
        <v>#VALUE!</v>
      </c>
      <c r="S7" t="e">
        <f>AND(Лист2!K42,"AAAAAHeb3xI=")</f>
        <v>#VALUE!</v>
      </c>
      <c r="T7" t="e">
        <f>AND(Лист2!L42,"AAAAAHeb3xM=")</f>
        <v>#VALUE!</v>
      </c>
      <c r="U7" t="e">
        <f>AND(Лист2!M42,"AAAAAHeb3xQ=")</f>
        <v>#VALUE!</v>
      </c>
      <c r="V7">
        <f>IF(Лист2!43:43,"AAAAAHeb3xU=",0)</f>
        <v>0</v>
      </c>
      <c r="W7" t="e">
        <f>AND(Лист2!A43,"AAAAAHeb3xY=")</f>
        <v>#VALUE!</v>
      </c>
      <c r="X7" t="e">
        <f>AND(Лист2!B43,"AAAAAHeb3xc=")</f>
        <v>#VALUE!</v>
      </c>
      <c r="Y7" t="e">
        <f>AND(Лист2!C43,"AAAAAHeb3xg=")</f>
        <v>#VALUE!</v>
      </c>
      <c r="Z7" t="e">
        <f>AND(Лист2!D43,"AAAAAHeb3xk=")</f>
        <v>#VALUE!</v>
      </c>
      <c r="AA7" t="e">
        <f>AND(Лист2!E43,"AAAAAHeb3xo=")</f>
        <v>#VALUE!</v>
      </c>
      <c r="AB7" t="e">
        <f>AND(Лист2!F43,"AAAAAHeb3xs=")</f>
        <v>#VALUE!</v>
      </c>
      <c r="AC7" t="e">
        <f>AND(Лист2!G43,"AAAAAHeb3xw=")</f>
        <v>#VALUE!</v>
      </c>
      <c r="AD7" t="e">
        <f>AND(Лист2!H43,"AAAAAHeb3x0=")</f>
        <v>#VALUE!</v>
      </c>
      <c r="AE7" t="e">
        <f>AND(Лист2!I43,"AAAAAHeb3x4=")</f>
        <v>#VALUE!</v>
      </c>
      <c r="AF7" t="e">
        <f>AND(Лист2!J43,"AAAAAHeb3x8=")</f>
        <v>#VALUE!</v>
      </c>
      <c r="AG7" t="e">
        <f>AND(Лист2!K43,"AAAAAHeb3yA=")</f>
        <v>#VALUE!</v>
      </c>
      <c r="AH7" t="e">
        <f>AND(Лист2!L43,"AAAAAHeb3yE=")</f>
        <v>#VALUE!</v>
      </c>
      <c r="AI7" t="e">
        <f>AND(Лист2!M43,"AAAAAHeb3yI=")</f>
        <v>#VALUE!</v>
      </c>
      <c r="AJ7">
        <f>IF(Лист2!44:44,"AAAAAHeb3yM=",0)</f>
        <v>0</v>
      </c>
      <c r="AK7" t="e">
        <f>AND(Лист2!A44,"AAAAAHeb3yQ=")</f>
        <v>#VALUE!</v>
      </c>
      <c r="AL7" t="e">
        <f>AND(Лист2!B44,"AAAAAHeb3yU=")</f>
        <v>#VALUE!</v>
      </c>
      <c r="AM7" t="e">
        <f>AND(Лист2!C44,"AAAAAHeb3yY=")</f>
        <v>#VALUE!</v>
      </c>
      <c r="AN7" t="e">
        <f>AND(Лист2!D44,"AAAAAHeb3yc=")</f>
        <v>#VALUE!</v>
      </c>
      <c r="AO7" t="e">
        <f>AND(Лист2!E44,"AAAAAHeb3yg=")</f>
        <v>#VALUE!</v>
      </c>
      <c r="AP7" t="e">
        <f>AND(Лист2!F44,"AAAAAHeb3yk=")</f>
        <v>#VALUE!</v>
      </c>
      <c r="AQ7" t="e">
        <f>AND(Лист2!G44,"AAAAAHeb3yo=")</f>
        <v>#VALUE!</v>
      </c>
      <c r="AR7" t="e">
        <f>AND(Лист2!H44,"AAAAAHeb3ys=")</f>
        <v>#VALUE!</v>
      </c>
      <c r="AS7" t="e">
        <f>AND(Лист2!I44,"AAAAAHeb3yw=")</f>
        <v>#VALUE!</v>
      </c>
      <c r="AT7" t="e">
        <f>AND(Лист2!J44,"AAAAAHeb3y0=")</f>
        <v>#VALUE!</v>
      </c>
      <c r="AU7" t="e">
        <f>AND(Лист2!K44,"AAAAAHeb3y4=")</f>
        <v>#VALUE!</v>
      </c>
      <c r="AV7" t="e">
        <f>AND(Лист2!L44,"AAAAAHeb3y8=")</f>
        <v>#VALUE!</v>
      </c>
      <c r="AW7" t="e">
        <f>AND(Лист2!M44,"AAAAAHeb3zA=")</f>
        <v>#VALUE!</v>
      </c>
      <c r="AX7">
        <f>IF(Лист2!45:45,"AAAAAHeb3zE=",0)</f>
        <v>0</v>
      </c>
      <c r="AY7" t="e">
        <f>AND(Лист2!A45,"AAAAAHeb3zI=")</f>
        <v>#VALUE!</v>
      </c>
      <c r="AZ7" t="e">
        <f>AND(Лист2!B45,"AAAAAHeb3zM=")</f>
        <v>#VALUE!</v>
      </c>
      <c r="BA7" t="e">
        <f>AND(Лист2!C45,"AAAAAHeb3zQ=")</f>
        <v>#VALUE!</v>
      </c>
      <c r="BB7" t="e">
        <f>AND(Лист2!D45,"AAAAAHeb3zU=")</f>
        <v>#VALUE!</v>
      </c>
      <c r="BC7" t="e">
        <f>AND(Лист2!E45,"AAAAAHeb3zY=")</f>
        <v>#VALUE!</v>
      </c>
      <c r="BD7" t="e">
        <f>AND(Лист2!F45,"AAAAAHeb3zc=")</f>
        <v>#VALUE!</v>
      </c>
      <c r="BE7" t="e">
        <f>AND(Лист2!G45,"AAAAAHeb3zg=")</f>
        <v>#VALUE!</v>
      </c>
      <c r="BF7" t="e">
        <f>AND(Лист2!H45,"AAAAAHeb3zk=")</f>
        <v>#VALUE!</v>
      </c>
      <c r="BG7" t="e">
        <f>AND(Лист2!I45,"AAAAAHeb3zo=")</f>
        <v>#VALUE!</v>
      </c>
      <c r="BH7" t="e">
        <f>AND(Лист2!J45,"AAAAAHeb3zs=")</f>
        <v>#VALUE!</v>
      </c>
      <c r="BI7" t="e">
        <f>AND(Лист2!K45,"AAAAAHeb3zw=")</f>
        <v>#VALUE!</v>
      </c>
      <c r="BJ7" t="e">
        <f>AND(Лист2!L45,"AAAAAHeb3z0=")</f>
        <v>#VALUE!</v>
      </c>
      <c r="BK7" t="e">
        <f>AND(Лист2!M45,"AAAAAHeb3z4=")</f>
        <v>#VALUE!</v>
      </c>
      <c r="BL7">
        <f>IF(Лист2!46:46,"AAAAAHeb3z8=",0)</f>
        <v>0</v>
      </c>
      <c r="BM7" t="e">
        <f>AND(Лист2!A46,"AAAAAHeb30A=")</f>
        <v>#VALUE!</v>
      </c>
      <c r="BN7" t="e">
        <f>AND(Лист2!B46,"AAAAAHeb30E=")</f>
        <v>#VALUE!</v>
      </c>
      <c r="BO7" t="e">
        <f>AND(Лист2!C46,"AAAAAHeb30I=")</f>
        <v>#VALUE!</v>
      </c>
      <c r="BP7" t="e">
        <f>AND(Лист2!D46,"AAAAAHeb30M=")</f>
        <v>#VALUE!</v>
      </c>
      <c r="BQ7" t="e">
        <f>AND(Лист2!E46,"AAAAAHeb30Q=")</f>
        <v>#VALUE!</v>
      </c>
      <c r="BR7" t="e">
        <f>AND(Лист2!F46,"AAAAAHeb30U=")</f>
        <v>#VALUE!</v>
      </c>
      <c r="BS7" t="e">
        <f>AND(Лист2!G46,"AAAAAHeb30Y=")</f>
        <v>#VALUE!</v>
      </c>
      <c r="BT7" t="e">
        <f>AND(Лист2!H46,"AAAAAHeb30c=")</f>
        <v>#VALUE!</v>
      </c>
      <c r="BU7" t="e">
        <f>AND(Лист2!I46,"AAAAAHeb30g=")</f>
        <v>#VALUE!</v>
      </c>
      <c r="BV7" t="e">
        <f>AND(Лист2!J46,"AAAAAHeb30k=")</f>
        <v>#VALUE!</v>
      </c>
      <c r="BW7" t="e">
        <f>AND(Лист2!K46,"AAAAAHeb30o=")</f>
        <v>#VALUE!</v>
      </c>
      <c r="BX7" t="e">
        <f>AND(Лист2!L46,"AAAAAHeb30s=")</f>
        <v>#VALUE!</v>
      </c>
      <c r="BY7" t="e">
        <f>AND(Лист2!M46,"AAAAAHeb30w=")</f>
        <v>#VALUE!</v>
      </c>
      <c r="BZ7">
        <f>IF(Лист2!47:47,"AAAAAHeb300=",0)</f>
        <v>0</v>
      </c>
      <c r="CA7" t="e">
        <f>AND(Лист2!A47,"AAAAAHeb304=")</f>
        <v>#VALUE!</v>
      </c>
      <c r="CB7" t="e">
        <f>AND(Лист2!B47,"AAAAAHeb308=")</f>
        <v>#VALUE!</v>
      </c>
      <c r="CC7" t="e">
        <f>AND(Лист2!C47,"AAAAAHeb31A=")</f>
        <v>#VALUE!</v>
      </c>
      <c r="CD7" t="e">
        <f>AND(Лист2!D47,"AAAAAHeb31E=")</f>
        <v>#VALUE!</v>
      </c>
      <c r="CE7" t="e">
        <f>AND(Лист2!E47,"AAAAAHeb31I=")</f>
        <v>#VALUE!</v>
      </c>
      <c r="CF7" t="e">
        <f>AND(Лист2!F47,"AAAAAHeb31M=")</f>
        <v>#VALUE!</v>
      </c>
      <c r="CG7" t="e">
        <f>AND(Лист2!G47,"AAAAAHeb31Q=")</f>
        <v>#VALUE!</v>
      </c>
      <c r="CH7" t="e">
        <f>AND(Лист2!H47,"AAAAAHeb31U=")</f>
        <v>#VALUE!</v>
      </c>
      <c r="CI7" t="e">
        <f>AND(Лист2!I47,"AAAAAHeb31Y=")</f>
        <v>#VALUE!</v>
      </c>
      <c r="CJ7" t="e">
        <f>AND(Лист2!J47,"AAAAAHeb31c=")</f>
        <v>#VALUE!</v>
      </c>
      <c r="CK7" t="e">
        <f>AND(Лист2!K47,"AAAAAHeb31g=")</f>
        <v>#VALUE!</v>
      </c>
      <c r="CL7" t="e">
        <f>AND(Лист2!L47,"AAAAAHeb31k=")</f>
        <v>#VALUE!</v>
      </c>
      <c r="CM7" t="e">
        <f>AND(Лист2!M47,"AAAAAHeb31o=")</f>
        <v>#VALUE!</v>
      </c>
      <c r="CN7">
        <f>IF(Лист2!48:48,"AAAAAHeb31s=",0)</f>
        <v>0</v>
      </c>
      <c r="CO7" t="e">
        <f>AND(Лист2!A48,"AAAAAHeb31w=")</f>
        <v>#VALUE!</v>
      </c>
      <c r="CP7" t="e">
        <f>AND(Лист2!B48,"AAAAAHeb310=")</f>
        <v>#VALUE!</v>
      </c>
      <c r="CQ7" t="e">
        <f>AND(Лист2!C48,"AAAAAHeb314=")</f>
        <v>#VALUE!</v>
      </c>
      <c r="CR7" t="e">
        <f>AND(Лист2!D48,"AAAAAHeb318=")</f>
        <v>#VALUE!</v>
      </c>
      <c r="CS7" t="e">
        <f>AND(Лист2!E48,"AAAAAHeb32A=")</f>
        <v>#VALUE!</v>
      </c>
      <c r="CT7" t="e">
        <f>AND(Лист2!F48,"AAAAAHeb32E=")</f>
        <v>#VALUE!</v>
      </c>
      <c r="CU7" t="e">
        <f>AND(Лист2!G48,"AAAAAHeb32I=")</f>
        <v>#VALUE!</v>
      </c>
      <c r="CV7" t="e">
        <f>AND(Лист2!H48,"AAAAAHeb32M=")</f>
        <v>#VALUE!</v>
      </c>
      <c r="CW7" t="e">
        <f>AND(Лист2!I48,"AAAAAHeb32Q=")</f>
        <v>#VALUE!</v>
      </c>
      <c r="CX7" t="e">
        <f>AND(Лист2!J48,"AAAAAHeb32U=")</f>
        <v>#VALUE!</v>
      </c>
      <c r="CY7" t="e">
        <f>AND(Лист2!K48,"AAAAAHeb32Y=")</f>
        <v>#VALUE!</v>
      </c>
      <c r="CZ7" t="e">
        <f>AND(Лист2!L48,"AAAAAHeb32c=")</f>
        <v>#VALUE!</v>
      </c>
      <c r="DA7" t="e">
        <f>AND(Лист2!M48,"AAAAAHeb32g=")</f>
        <v>#VALUE!</v>
      </c>
      <c r="DB7">
        <f>IF(Лист2!49:49,"AAAAAHeb32k=",0)</f>
        <v>0</v>
      </c>
      <c r="DC7" t="e">
        <f>AND(Лист2!A49,"AAAAAHeb32o=")</f>
        <v>#VALUE!</v>
      </c>
      <c r="DD7" t="e">
        <f>AND(Лист2!B49,"AAAAAHeb32s=")</f>
        <v>#VALUE!</v>
      </c>
      <c r="DE7" t="e">
        <f>AND(Лист2!C49,"AAAAAHeb32w=")</f>
        <v>#VALUE!</v>
      </c>
      <c r="DF7" t="e">
        <f>AND(Лист2!D49,"AAAAAHeb320=")</f>
        <v>#VALUE!</v>
      </c>
      <c r="DG7" t="e">
        <f>AND(Лист2!E49,"AAAAAHeb324=")</f>
        <v>#VALUE!</v>
      </c>
      <c r="DH7" t="e">
        <f>AND(Лист2!F49,"AAAAAHeb328=")</f>
        <v>#VALUE!</v>
      </c>
      <c r="DI7" t="e">
        <f>AND(Лист2!G49,"AAAAAHeb33A=")</f>
        <v>#VALUE!</v>
      </c>
      <c r="DJ7" t="e">
        <f>AND(Лист2!H49,"AAAAAHeb33E=")</f>
        <v>#VALUE!</v>
      </c>
      <c r="DK7" t="e">
        <f>AND(Лист2!I49,"AAAAAHeb33I=")</f>
        <v>#VALUE!</v>
      </c>
      <c r="DL7" t="e">
        <f>AND(Лист2!J49,"AAAAAHeb33M=")</f>
        <v>#VALUE!</v>
      </c>
      <c r="DM7" t="e">
        <f>AND(Лист2!K49,"AAAAAHeb33Q=")</f>
        <v>#VALUE!</v>
      </c>
      <c r="DN7" t="e">
        <f>AND(Лист2!L49,"AAAAAHeb33U=")</f>
        <v>#VALUE!</v>
      </c>
      <c r="DO7" t="e">
        <f>AND(Лист2!M49,"AAAAAHeb33Y=")</f>
        <v>#VALUE!</v>
      </c>
      <c r="DP7">
        <f>IF(Лист2!50:50,"AAAAAHeb33c=",0)</f>
        <v>0</v>
      </c>
      <c r="DQ7" t="e">
        <f>AND(Лист2!A50,"AAAAAHeb33g=")</f>
        <v>#VALUE!</v>
      </c>
      <c r="DR7" t="e">
        <f>AND(Лист2!B50,"AAAAAHeb33k=")</f>
        <v>#VALUE!</v>
      </c>
      <c r="DS7" t="e">
        <f>AND(Лист2!C50,"AAAAAHeb33o=")</f>
        <v>#VALUE!</v>
      </c>
      <c r="DT7" t="e">
        <f>AND(Лист2!D50,"AAAAAHeb33s=")</f>
        <v>#VALUE!</v>
      </c>
      <c r="DU7" t="e">
        <f>AND(Лист2!E50,"AAAAAHeb33w=")</f>
        <v>#VALUE!</v>
      </c>
      <c r="DV7" t="e">
        <f>AND(Лист2!F50,"AAAAAHeb330=")</f>
        <v>#VALUE!</v>
      </c>
      <c r="DW7" t="e">
        <f>AND(Лист2!G50,"AAAAAHeb334=")</f>
        <v>#VALUE!</v>
      </c>
      <c r="DX7" t="e">
        <f>AND(Лист2!H50,"AAAAAHeb338=")</f>
        <v>#VALUE!</v>
      </c>
      <c r="DY7" t="e">
        <f>AND(Лист2!I50,"AAAAAHeb34A=")</f>
        <v>#VALUE!</v>
      </c>
      <c r="DZ7" t="e">
        <f>AND(Лист2!J50,"AAAAAHeb34E=")</f>
        <v>#VALUE!</v>
      </c>
      <c r="EA7" t="e">
        <f>AND(Лист2!K50,"AAAAAHeb34I=")</f>
        <v>#VALUE!</v>
      </c>
      <c r="EB7" t="e">
        <f>AND(Лист2!L50,"AAAAAHeb34M=")</f>
        <v>#VALUE!</v>
      </c>
      <c r="EC7" t="e">
        <f>AND(Лист2!M50,"AAAAAHeb34Q=")</f>
        <v>#VALUE!</v>
      </c>
      <c r="ED7">
        <f>IF(Лист2!51:51,"AAAAAHeb34U=",0)</f>
        <v>0</v>
      </c>
      <c r="EE7" t="e">
        <f>AND(Лист2!A51,"AAAAAHeb34Y=")</f>
        <v>#VALUE!</v>
      </c>
      <c r="EF7" t="e">
        <f>AND(Лист2!B51,"AAAAAHeb34c=")</f>
        <v>#VALUE!</v>
      </c>
      <c r="EG7" t="e">
        <f>AND(Лист2!C51,"AAAAAHeb34g=")</f>
        <v>#VALUE!</v>
      </c>
      <c r="EH7" t="e">
        <f>AND(Лист2!D51,"AAAAAHeb34k=")</f>
        <v>#VALUE!</v>
      </c>
      <c r="EI7" t="e">
        <f>AND(Лист2!E51,"AAAAAHeb34o=")</f>
        <v>#VALUE!</v>
      </c>
      <c r="EJ7" t="e">
        <f>AND(Лист2!F51,"AAAAAHeb34s=")</f>
        <v>#VALUE!</v>
      </c>
      <c r="EK7" t="e">
        <f>AND(Лист2!G51,"AAAAAHeb34w=")</f>
        <v>#VALUE!</v>
      </c>
      <c r="EL7" t="e">
        <f>AND(Лист2!H51,"AAAAAHeb340=")</f>
        <v>#VALUE!</v>
      </c>
      <c r="EM7" t="e">
        <f>AND(Лист2!I51,"AAAAAHeb344=")</f>
        <v>#VALUE!</v>
      </c>
      <c r="EN7" t="e">
        <f>AND(Лист2!J51,"AAAAAHeb348=")</f>
        <v>#VALUE!</v>
      </c>
      <c r="EO7" t="e">
        <f>AND(Лист2!K51,"AAAAAHeb35A=")</f>
        <v>#VALUE!</v>
      </c>
      <c r="EP7" t="e">
        <f>AND(Лист2!L51,"AAAAAHeb35E=")</f>
        <v>#VALUE!</v>
      </c>
      <c r="EQ7" t="e">
        <f>AND(Лист2!M51,"AAAAAHeb35I=")</f>
        <v>#VALUE!</v>
      </c>
      <c r="ER7">
        <f>IF(Лист2!52:52,"AAAAAHeb35M=",0)</f>
        <v>0</v>
      </c>
      <c r="ES7" t="e">
        <f>AND(Лист2!A52,"AAAAAHeb35Q=")</f>
        <v>#VALUE!</v>
      </c>
      <c r="ET7" t="e">
        <f>AND(Лист2!B52,"AAAAAHeb35U=")</f>
        <v>#VALUE!</v>
      </c>
      <c r="EU7" t="e">
        <f>AND(Лист2!C52,"AAAAAHeb35Y=")</f>
        <v>#VALUE!</v>
      </c>
      <c r="EV7" t="e">
        <f>AND(Лист2!D52,"AAAAAHeb35c=")</f>
        <v>#VALUE!</v>
      </c>
      <c r="EW7" t="e">
        <f>AND(Лист2!E52,"AAAAAHeb35g=")</f>
        <v>#VALUE!</v>
      </c>
      <c r="EX7" t="e">
        <f>AND(Лист2!F52,"AAAAAHeb35k=")</f>
        <v>#VALUE!</v>
      </c>
      <c r="EY7" t="e">
        <f>AND(Лист2!G52,"AAAAAHeb35o=")</f>
        <v>#VALUE!</v>
      </c>
      <c r="EZ7" t="e">
        <f>AND(Лист2!H52,"AAAAAHeb35s=")</f>
        <v>#VALUE!</v>
      </c>
      <c r="FA7" t="e">
        <f>AND(Лист2!I52,"AAAAAHeb35w=")</f>
        <v>#VALUE!</v>
      </c>
      <c r="FB7" t="e">
        <f>AND(Лист2!J52,"AAAAAHeb350=")</f>
        <v>#VALUE!</v>
      </c>
      <c r="FC7" t="e">
        <f>AND(Лист2!K52,"AAAAAHeb354=")</f>
        <v>#VALUE!</v>
      </c>
      <c r="FD7" t="e">
        <f>AND(Лист2!L52,"AAAAAHeb358=")</f>
        <v>#VALUE!</v>
      </c>
      <c r="FE7" t="e">
        <f>AND(Лист2!M52,"AAAAAHeb36A=")</f>
        <v>#VALUE!</v>
      </c>
      <c r="FF7">
        <f>IF(Лист2!53:53,"AAAAAHeb36E=",0)</f>
        <v>0</v>
      </c>
      <c r="FG7" t="e">
        <f>AND(Лист2!A53,"AAAAAHeb36I=")</f>
        <v>#VALUE!</v>
      </c>
      <c r="FH7" t="e">
        <f>AND(Лист2!B53,"AAAAAHeb36M=")</f>
        <v>#VALUE!</v>
      </c>
      <c r="FI7" t="e">
        <f>AND(Лист2!C53,"AAAAAHeb36Q=")</f>
        <v>#VALUE!</v>
      </c>
      <c r="FJ7" t="e">
        <f>AND(Лист2!D53,"AAAAAHeb36U=")</f>
        <v>#VALUE!</v>
      </c>
      <c r="FK7" t="e">
        <f>AND(Лист2!E53,"AAAAAHeb36Y=")</f>
        <v>#VALUE!</v>
      </c>
      <c r="FL7" t="e">
        <f>AND(Лист2!F53,"AAAAAHeb36c=")</f>
        <v>#VALUE!</v>
      </c>
      <c r="FM7" t="e">
        <f>AND(Лист2!G53,"AAAAAHeb36g=")</f>
        <v>#VALUE!</v>
      </c>
      <c r="FN7" t="e">
        <f>AND(Лист2!H53,"AAAAAHeb36k=")</f>
        <v>#VALUE!</v>
      </c>
      <c r="FO7" t="e">
        <f>AND(Лист2!I53,"AAAAAHeb36o=")</f>
        <v>#VALUE!</v>
      </c>
      <c r="FP7" t="e">
        <f>AND(Лист2!J53,"AAAAAHeb36s=")</f>
        <v>#VALUE!</v>
      </c>
      <c r="FQ7" t="e">
        <f>AND(Лист2!K53,"AAAAAHeb36w=")</f>
        <v>#VALUE!</v>
      </c>
      <c r="FR7" t="e">
        <f>AND(Лист2!L53,"AAAAAHeb360=")</f>
        <v>#VALUE!</v>
      </c>
      <c r="FS7" t="e">
        <f>AND(Лист2!M53,"AAAAAHeb364=")</f>
        <v>#VALUE!</v>
      </c>
      <c r="FT7">
        <f>IF(Лист2!54:54,"AAAAAHeb368=",0)</f>
        <v>0</v>
      </c>
      <c r="FU7" t="e">
        <f>AND(Лист2!A54,"AAAAAHeb37A=")</f>
        <v>#VALUE!</v>
      </c>
      <c r="FV7" t="e">
        <f>AND(Лист2!B54,"AAAAAHeb37E=")</f>
        <v>#VALUE!</v>
      </c>
      <c r="FW7" t="e">
        <f>AND(Лист2!C54,"AAAAAHeb37I=")</f>
        <v>#VALUE!</v>
      </c>
      <c r="FX7" t="e">
        <f>AND(Лист2!D54,"AAAAAHeb37M=")</f>
        <v>#VALUE!</v>
      </c>
      <c r="FY7" t="e">
        <f>AND(Лист2!E54,"AAAAAHeb37Q=")</f>
        <v>#VALUE!</v>
      </c>
      <c r="FZ7" t="e">
        <f>AND(Лист2!F54,"AAAAAHeb37U=")</f>
        <v>#VALUE!</v>
      </c>
      <c r="GA7" t="e">
        <f>AND(Лист2!G54,"AAAAAHeb37Y=")</f>
        <v>#VALUE!</v>
      </c>
      <c r="GB7" t="e">
        <f>AND(Лист2!H54,"AAAAAHeb37c=")</f>
        <v>#VALUE!</v>
      </c>
      <c r="GC7" t="e">
        <f>AND(Лист2!I54,"AAAAAHeb37g=")</f>
        <v>#VALUE!</v>
      </c>
      <c r="GD7" t="e">
        <f>AND(Лист2!J54,"AAAAAHeb37k=")</f>
        <v>#VALUE!</v>
      </c>
      <c r="GE7" t="e">
        <f>AND(Лист2!K54,"AAAAAHeb37o=")</f>
        <v>#VALUE!</v>
      </c>
      <c r="GF7" t="e">
        <f>AND(Лист2!L54,"AAAAAHeb37s=")</f>
        <v>#VALUE!</v>
      </c>
      <c r="GG7" t="e">
        <f>AND(Лист2!M54,"AAAAAHeb37w=")</f>
        <v>#VALUE!</v>
      </c>
      <c r="GH7">
        <f>IF(Лист2!55:55,"AAAAAHeb370=",0)</f>
        <v>0</v>
      </c>
      <c r="GI7" t="e">
        <f>AND(Лист2!A55,"AAAAAHeb374=")</f>
        <v>#VALUE!</v>
      </c>
      <c r="GJ7" t="e">
        <f>AND(Лист2!B55,"AAAAAHeb378=")</f>
        <v>#VALUE!</v>
      </c>
      <c r="GK7" t="e">
        <f>AND(Лист2!C55,"AAAAAHeb38A=")</f>
        <v>#VALUE!</v>
      </c>
      <c r="GL7" t="e">
        <f>AND(Лист2!D55,"AAAAAHeb38E=")</f>
        <v>#VALUE!</v>
      </c>
      <c r="GM7" t="e">
        <f>AND(Лист2!E55,"AAAAAHeb38I=")</f>
        <v>#VALUE!</v>
      </c>
      <c r="GN7" t="e">
        <f>AND(Лист2!F55,"AAAAAHeb38M=")</f>
        <v>#VALUE!</v>
      </c>
      <c r="GO7" t="e">
        <f>AND(Лист2!G55,"AAAAAHeb38Q=")</f>
        <v>#VALUE!</v>
      </c>
      <c r="GP7" t="e">
        <f>AND(Лист2!H55,"AAAAAHeb38U=")</f>
        <v>#VALUE!</v>
      </c>
      <c r="GQ7" t="e">
        <f>AND(Лист2!I55,"AAAAAHeb38Y=")</f>
        <v>#VALUE!</v>
      </c>
      <c r="GR7" t="e">
        <f>AND(Лист2!J55,"AAAAAHeb38c=")</f>
        <v>#VALUE!</v>
      </c>
      <c r="GS7" t="e">
        <f>AND(Лист2!K55,"AAAAAHeb38g=")</f>
        <v>#VALUE!</v>
      </c>
      <c r="GT7" t="e">
        <f>AND(Лист2!L55,"AAAAAHeb38k=")</f>
        <v>#VALUE!</v>
      </c>
      <c r="GU7" t="e">
        <f>AND(Лист2!M55,"AAAAAHeb38o=")</f>
        <v>#VALUE!</v>
      </c>
      <c r="GV7">
        <f>IF(Лист2!56:56,"AAAAAHeb38s=",0)</f>
        <v>0</v>
      </c>
      <c r="GW7" t="e">
        <f>AND(Лист2!A56,"AAAAAHeb38w=")</f>
        <v>#VALUE!</v>
      </c>
      <c r="GX7" t="e">
        <f>AND(Лист2!B56,"AAAAAHeb380=")</f>
        <v>#VALUE!</v>
      </c>
      <c r="GY7" t="e">
        <f>AND(Лист2!C56,"AAAAAHeb384=")</f>
        <v>#VALUE!</v>
      </c>
      <c r="GZ7" t="e">
        <f>AND(Лист2!D56,"AAAAAHeb388=")</f>
        <v>#VALUE!</v>
      </c>
      <c r="HA7" t="e">
        <f>AND(Лист2!E56,"AAAAAHeb39A=")</f>
        <v>#VALUE!</v>
      </c>
      <c r="HB7" t="e">
        <f>AND(Лист2!F56,"AAAAAHeb39E=")</f>
        <v>#VALUE!</v>
      </c>
      <c r="HC7" t="e">
        <f>AND(Лист2!G56,"AAAAAHeb39I=")</f>
        <v>#VALUE!</v>
      </c>
      <c r="HD7" t="e">
        <f>AND(Лист2!H56,"AAAAAHeb39M=")</f>
        <v>#VALUE!</v>
      </c>
      <c r="HE7" t="e">
        <f>AND(Лист2!I56,"AAAAAHeb39Q=")</f>
        <v>#VALUE!</v>
      </c>
      <c r="HF7" t="e">
        <f>AND(Лист2!J56,"AAAAAHeb39U=")</f>
        <v>#VALUE!</v>
      </c>
      <c r="HG7" t="e">
        <f>AND(Лист2!K56,"AAAAAHeb39Y=")</f>
        <v>#VALUE!</v>
      </c>
      <c r="HH7" t="e">
        <f>AND(Лист2!L56,"AAAAAHeb39c=")</f>
        <v>#VALUE!</v>
      </c>
      <c r="HI7" t="e">
        <f>AND(Лист2!M56,"AAAAAHeb39g=")</f>
        <v>#VALUE!</v>
      </c>
      <c r="HJ7">
        <f>IF(Лист2!57:57,"AAAAAHeb39k=",0)</f>
        <v>0</v>
      </c>
      <c r="HK7" t="e">
        <f>AND(Лист2!A57,"AAAAAHeb39o=")</f>
        <v>#VALUE!</v>
      </c>
      <c r="HL7" t="e">
        <f>AND(Лист2!B57,"AAAAAHeb39s=")</f>
        <v>#VALUE!</v>
      </c>
      <c r="HM7" t="e">
        <f>AND(Лист2!C57,"AAAAAHeb39w=")</f>
        <v>#VALUE!</v>
      </c>
      <c r="HN7" t="e">
        <f>AND(Лист2!D57,"AAAAAHeb390=")</f>
        <v>#VALUE!</v>
      </c>
      <c r="HO7" t="e">
        <f>AND(Лист2!E57,"AAAAAHeb394=")</f>
        <v>#VALUE!</v>
      </c>
      <c r="HP7" t="e">
        <f>AND(Лист2!F57,"AAAAAHeb398=")</f>
        <v>#VALUE!</v>
      </c>
      <c r="HQ7" t="e">
        <f>AND(Лист2!G57,"AAAAAHeb3+A=")</f>
        <v>#VALUE!</v>
      </c>
      <c r="HR7" t="e">
        <f>AND(Лист2!H57,"AAAAAHeb3+E=")</f>
        <v>#VALUE!</v>
      </c>
      <c r="HS7" t="e">
        <f>AND(Лист2!I57,"AAAAAHeb3+I=")</f>
        <v>#VALUE!</v>
      </c>
      <c r="HT7" t="e">
        <f>AND(Лист2!J57,"AAAAAHeb3+M=")</f>
        <v>#VALUE!</v>
      </c>
      <c r="HU7" t="e">
        <f>AND(Лист2!K57,"AAAAAHeb3+Q=")</f>
        <v>#VALUE!</v>
      </c>
      <c r="HV7" t="e">
        <f>AND(Лист2!L57,"AAAAAHeb3+U=")</f>
        <v>#VALUE!</v>
      </c>
      <c r="HW7" t="e">
        <f>AND(Лист2!M57,"AAAAAHeb3+Y=")</f>
        <v>#VALUE!</v>
      </c>
      <c r="HX7">
        <f>IF(Лист2!58:58,"AAAAAHeb3+c=",0)</f>
        <v>0</v>
      </c>
      <c r="HY7" t="e">
        <f>AND(Лист2!A58,"AAAAAHeb3+g=")</f>
        <v>#VALUE!</v>
      </c>
      <c r="HZ7" t="e">
        <f>AND(Лист2!B58,"AAAAAHeb3+k=")</f>
        <v>#VALUE!</v>
      </c>
      <c r="IA7" t="e">
        <f>AND(Лист2!C58,"AAAAAHeb3+o=")</f>
        <v>#VALUE!</v>
      </c>
      <c r="IB7" t="e">
        <f>AND(Лист2!D58,"AAAAAHeb3+s=")</f>
        <v>#VALUE!</v>
      </c>
      <c r="IC7" t="e">
        <f>AND(Лист2!E58,"AAAAAHeb3+w=")</f>
        <v>#VALUE!</v>
      </c>
      <c r="ID7" t="e">
        <f>AND(Лист2!F58,"AAAAAHeb3+0=")</f>
        <v>#VALUE!</v>
      </c>
      <c r="IE7" t="e">
        <f>AND(Лист2!G58,"AAAAAHeb3+4=")</f>
        <v>#VALUE!</v>
      </c>
      <c r="IF7" t="e">
        <f>AND(Лист2!H58,"AAAAAHeb3+8=")</f>
        <v>#VALUE!</v>
      </c>
      <c r="IG7" t="e">
        <f>AND(Лист2!I58,"AAAAAHeb3/A=")</f>
        <v>#VALUE!</v>
      </c>
      <c r="IH7" t="e">
        <f>AND(Лист2!J58,"AAAAAHeb3/E=")</f>
        <v>#VALUE!</v>
      </c>
      <c r="II7" t="e">
        <f>AND(Лист2!K58,"AAAAAHeb3/I=")</f>
        <v>#VALUE!</v>
      </c>
      <c r="IJ7" t="e">
        <f>AND(Лист2!L58,"AAAAAHeb3/M=")</f>
        <v>#VALUE!</v>
      </c>
      <c r="IK7" t="e">
        <f>AND(Лист2!M58,"AAAAAHeb3/Q=")</f>
        <v>#VALUE!</v>
      </c>
      <c r="IL7">
        <f>IF(Лист2!59:59,"AAAAAHeb3/U=",0)</f>
        <v>0</v>
      </c>
      <c r="IM7" t="e">
        <f>AND(Лист2!A59,"AAAAAHeb3/Y=")</f>
        <v>#VALUE!</v>
      </c>
      <c r="IN7" t="e">
        <f>AND(Лист2!B59,"AAAAAHeb3/c=")</f>
        <v>#VALUE!</v>
      </c>
      <c r="IO7" t="e">
        <f>AND(Лист2!C59,"AAAAAHeb3/g=")</f>
        <v>#VALUE!</v>
      </c>
      <c r="IP7" t="e">
        <f>AND(Лист2!D59,"AAAAAHeb3/k=")</f>
        <v>#VALUE!</v>
      </c>
      <c r="IQ7" t="e">
        <f>AND(Лист2!E59,"AAAAAHeb3/o=")</f>
        <v>#VALUE!</v>
      </c>
      <c r="IR7" t="e">
        <f>AND(Лист2!F59,"AAAAAHeb3/s=")</f>
        <v>#VALUE!</v>
      </c>
      <c r="IS7" t="e">
        <f>AND(Лист2!G59,"AAAAAHeb3/w=")</f>
        <v>#VALUE!</v>
      </c>
      <c r="IT7" t="e">
        <f>AND(Лист2!H59,"AAAAAHeb3/0=")</f>
        <v>#VALUE!</v>
      </c>
      <c r="IU7" t="e">
        <f>AND(Лист2!I59,"AAAAAHeb3/4=")</f>
        <v>#VALUE!</v>
      </c>
      <c r="IV7" t="e">
        <f>AND(Лист2!J59,"AAAAAHeb3/8=")</f>
        <v>#VALUE!</v>
      </c>
    </row>
    <row r="8" spans="1:256" ht="12.75">
      <c r="A8" t="e">
        <f>AND(Лист2!K59,"AAAAAD++/wA=")</f>
        <v>#VALUE!</v>
      </c>
      <c r="B8" t="e">
        <f>AND(Лист2!L59,"AAAAAD++/wE=")</f>
        <v>#VALUE!</v>
      </c>
      <c r="C8" t="e">
        <f>AND(Лист2!M59,"AAAAAD++/wI=")</f>
        <v>#VALUE!</v>
      </c>
      <c r="D8" t="e">
        <f>IF(Лист2!60:60,"AAAAAD++/wM=",0)</f>
        <v>#VALUE!</v>
      </c>
      <c r="E8" t="e">
        <f>AND(Лист2!A60,"AAAAAD++/wQ=")</f>
        <v>#VALUE!</v>
      </c>
      <c r="F8" t="e">
        <f>AND(Лист2!B60,"AAAAAD++/wU=")</f>
        <v>#VALUE!</v>
      </c>
      <c r="G8" t="e">
        <f>AND(Лист2!C60,"AAAAAD++/wY=")</f>
        <v>#VALUE!</v>
      </c>
      <c r="H8" t="e">
        <f>AND(Лист2!D60,"AAAAAD++/wc=")</f>
        <v>#VALUE!</v>
      </c>
      <c r="I8" t="e">
        <f>AND(Лист2!E60,"AAAAAD++/wg=")</f>
        <v>#VALUE!</v>
      </c>
      <c r="J8" t="e">
        <f>AND(Лист2!F60,"AAAAAD++/wk=")</f>
        <v>#VALUE!</v>
      </c>
      <c r="K8" t="e">
        <f>AND(Лист2!G60,"AAAAAD++/wo=")</f>
        <v>#VALUE!</v>
      </c>
      <c r="L8" t="e">
        <f>AND(Лист2!H60,"AAAAAD++/ws=")</f>
        <v>#VALUE!</v>
      </c>
      <c r="M8" t="e">
        <f>AND(Лист2!I60,"AAAAAD++/ww=")</f>
        <v>#VALUE!</v>
      </c>
      <c r="N8" t="e">
        <f>AND(Лист2!J60,"AAAAAD++/w0=")</f>
        <v>#VALUE!</v>
      </c>
      <c r="O8" t="e">
        <f>AND(Лист2!K60,"AAAAAD++/w4=")</f>
        <v>#VALUE!</v>
      </c>
      <c r="P8" t="e">
        <f>AND(Лист2!L60,"AAAAAD++/w8=")</f>
        <v>#VALUE!</v>
      </c>
      <c r="Q8" t="e">
        <f>AND(Лист2!M60,"AAAAAD++/xA=")</f>
        <v>#VALUE!</v>
      </c>
      <c r="R8">
        <f>IF(Лист2!61:61,"AAAAAD++/xE=",0)</f>
        <v>0</v>
      </c>
      <c r="S8" t="e">
        <f>AND(Лист2!A61,"AAAAAD++/xI=")</f>
        <v>#VALUE!</v>
      </c>
      <c r="T8" t="e">
        <f>AND(Лист2!B61,"AAAAAD++/xM=")</f>
        <v>#VALUE!</v>
      </c>
      <c r="U8" t="e">
        <f>AND(Лист2!C61,"AAAAAD++/xQ=")</f>
        <v>#VALUE!</v>
      </c>
      <c r="V8" t="e">
        <f>AND(Лист2!D61,"AAAAAD++/xU=")</f>
        <v>#VALUE!</v>
      </c>
      <c r="W8" t="e">
        <f>AND(Лист2!E61,"AAAAAD++/xY=")</f>
        <v>#VALUE!</v>
      </c>
      <c r="X8" t="e">
        <f>AND(Лист2!F61,"AAAAAD++/xc=")</f>
        <v>#VALUE!</v>
      </c>
      <c r="Y8" t="e">
        <f>AND(Лист2!G61,"AAAAAD++/xg=")</f>
        <v>#VALUE!</v>
      </c>
      <c r="Z8" t="e">
        <f>AND(Лист2!H61,"AAAAAD++/xk=")</f>
        <v>#VALUE!</v>
      </c>
      <c r="AA8" t="e">
        <f>AND(Лист2!I61,"AAAAAD++/xo=")</f>
        <v>#VALUE!</v>
      </c>
      <c r="AB8" t="e">
        <f>AND(Лист2!J61,"AAAAAD++/xs=")</f>
        <v>#VALUE!</v>
      </c>
      <c r="AC8" t="e">
        <f>AND(Лист2!K61,"AAAAAD++/xw=")</f>
        <v>#VALUE!</v>
      </c>
      <c r="AD8" t="e">
        <f>AND(Лист2!L61,"AAAAAD++/x0=")</f>
        <v>#VALUE!</v>
      </c>
      <c r="AE8" t="e">
        <f>AND(Лист2!M61,"AAAAAD++/x4=")</f>
        <v>#VALUE!</v>
      </c>
      <c r="AF8">
        <f>IF(Лист2!62:62,"AAAAAD++/x8=",0)</f>
        <v>0</v>
      </c>
      <c r="AG8" t="e">
        <f>AND(Лист2!A62,"AAAAAD++/yA=")</f>
        <v>#VALUE!</v>
      </c>
      <c r="AH8" t="e">
        <f>AND(Лист2!B62,"AAAAAD++/yE=")</f>
        <v>#VALUE!</v>
      </c>
      <c r="AI8" t="e">
        <f>AND(Лист2!C62,"AAAAAD++/yI=")</f>
        <v>#VALUE!</v>
      </c>
      <c r="AJ8" t="e">
        <f>AND(Лист2!D62,"AAAAAD++/yM=")</f>
        <v>#VALUE!</v>
      </c>
      <c r="AK8" t="e">
        <f>AND(Лист2!E62,"AAAAAD++/yQ=")</f>
        <v>#VALUE!</v>
      </c>
      <c r="AL8" t="e">
        <f>AND(Лист2!F62,"AAAAAD++/yU=")</f>
        <v>#VALUE!</v>
      </c>
      <c r="AM8" t="e">
        <f>AND(Лист2!G62,"AAAAAD++/yY=")</f>
        <v>#VALUE!</v>
      </c>
      <c r="AN8" t="e">
        <f>AND(Лист2!H62,"AAAAAD++/yc=")</f>
        <v>#VALUE!</v>
      </c>
      <c r="AO8" t="e">
        <f>AND(Лист2!I62,"AAAAAD++/yg=")</f>
        <v>#VALUE!</v>
      </c>
      <c r="AP8" t="e">
        <f>AND(Лист2!J62,"AAAAAD++/yk=")</f>
        <v>#VALUE!</v>
      </c>
      <c r="AQ8" t="e">
        <f>AND(Лист2!K62,"AAAAAD++/yo=")</f>
        <v>#VALUE!</v>
      </c>
      <c r="AR8" t="e">
        <f>AND(Лист2!L62,"AAAAAD++/ys=")</f>
        <v>#VALUE!</v>
      </c>
      <c r="AS8" t="e">
        <f>AND(Лист2!M62,"AAAAAD++/yw=")</f>
        <v>#VALUE!</v>
      </c>
      <c r="AT8">
        <f>IF(Лист2!63:63,"AAAAAD++/y0=",0)</f>
        <v>0</v>
      </c>
      <c r="AU8" t="e">
        <f>AND(Лист2!A63,"AAAAAD++/y4=")</f>
        <v>#VALUE!</v>
      </c>
      <c r="AV8" t="e">
        <f>AND(Лист2!B63,"AAAAAD++/y8=")</f>
        <v>#VALUE!</v>
      </c>
      <c r="AW8" t="e">
        <f>AND(Лист2!C63,"AAAAAD++/zA=")</f>
        <v>#VALUE!</v>
      </c>
      <c r="AX8" t="e">
        <f>AND(Лист2!D63,"AAAAAD++/zE=")</f>
        <v>#VALUE!</v>
      </c>
      <c r="AY8" t="e">
        <f>AND(Лист2!E63,"AAAAAD++/zI=")</f>
        <v>#VALUE!</v>
      </c>
      <c r="AZ8" t="e">
        <f>AND(Лист2!F63,"AAAAAD++/zM=")</f>
        <v>#VALUE!</v>
      </c>
      <c r="BA8" t="e">
        <f>AND(Лист2!G63,"AAAAAD++/zQ=")</f>
        <v>#VALUE!</v>
      </c>
      <c r="BB8" t="e">
        <f>AND(Лист2!H63,"AAAAAD++/zU=")</f>
        <v>#VALUE!</v>
      </c>
      <c r="BC8" t="e">
        <f>AND(Лист2!I63,"AAAAAD++/zY=")</f>
        <v>#VALUE!</v>
      </c>
      <c r="BD8" t="e">
        <f>AND(Лист2!J63,"AAAAAD++/zc=")</f>
        <v>#VALUE!</v>
      </c>
      <c r="BE8" t="e">
        <f>AND(Лист2!K63,"AAAAAD++/zg=")</f>
        <v>#VALUE!</v>
      </c>
      <c r="BF8" t="e">
        <f>AND(Лист2!L63,"AAAAAD++/zk=")</f>
        <v>#VALUE!</v>
      </c>
      <c r="BG8" t="e">
        <f>AND(Лист2!M63,"AAAAAD++/zo=")</f>
        <v>#VALUE!</v>
      </c>
      <c r="BH8">
        <f>IF(Лист2!64:64,"AAAAAD++/zs=",0)</f>
        <v>0</v>
      </c>
      <c r="BI8" t="e">
        <f>AND(Лист2!A64,"AAAAAD++/zw=")</f>
        <v>#VALUE!</v>
      </c>
      <c r="BJ8" t="e">
        <f>AND(Лист2!B64,"AAAAAD++/z0=")</f>
        <v>#VALUE!</v>
      </c>
      <c r="BK8" t="e">
        <f>AND(Лист2!C64,"AAAAAD++/z4=")</f>
        <v>#VALUE!</v>
      </c>
      <c r="BL8" t="e">
        <f>AND(Лист2!D64,"AAAAAD++/z8=")</f>
        <v>#VALUE!</v>
      </c>
      <c r="BM8" t="e">
        <f>AND(Лист2!E64,"AAAAAD++/0A=")</f>
        <v>#VALUE!</v>
      </c>
      <c r="BN8" t="e">
        <f>AND(Лист2!F64,"AAAAAD++/0E=")</f>
        <v>#VALUE!</v>
      </c>
      <c r="BO8" t="e">
        <f>AND(Лист2!G64,"AAAAAD++/0I=")</f>
        <v>#VALUE!</v>
      </c>
      <c r="BP8" t="e">
        <f>AND(Лист2!H64,"AAAAAD++/0M=")</f>
        <v>#VALUE!</v>
      </c>
      <c r="BQ8" t="e">
        <f>AND(Лист2!I64,"AAAAAD++/0Q=")</f>
        <v>#VALUE!</v>
      </c>
      <c r="BR8" t="e">
        <f>AND(Лист2!J64,"AAAAAD++/0U=")</f>
        <v>#VALUE!</v>
      </c>
      <c r="BS8" t="e">
        <f>AND(Лист2!K64,"AAAAAD++/0Y=")</f>
        <v>#VALUE!</v>
      </c>
      <c r="BT8" t="e">
        <f>AND(Лист2!L64,"AAAAAD++/0c=")</f>
        <v>#VALUE!</v>
      </c>
      <c r="BU8" t="e">
        <f>AND(Лист2!M64,"AAAAAD++/0g=")</f>
        <v>#VALUE!</v>
      </c>
      <c r="BV8">
        <f>IF(Лист2!65:65,"AAAAAD++/0k=",0)</f>
        <v>0</v>
      </c>
      <c r="BW8" t="e">
        <f>AND(Лист2!A65,"AAAAAD++/0o=")</f>
        <v>#VALUE!</v>
      </c>
      <c r="BX8" t="e">
        <f>AND(Лист2!B65,"AAAAAD++/0s=")</f>
        <v>#VALUE!</v>
      </c>
      <c r="BY8" t="e">
        <f>AND(Лист2!C65,"AAAAAD++/0w=")</f>
        <v>#VALUE!</v>
      </c>
      <c r="BZ8" t="e">
        <f>AND(Лист2!D65,"AAAAAD++/00=")</f>
        <v>#VALUE!</v>
      </c>
      <c r="CA8" t="e">
        <f>AND(Лист2!E65,"AAAAAD++/04=")</f>
        <v>#VALUE!</v>
      </c>
      <c r="CB8" t="e">
        <f>AND(Лист2!F65,"AAAAAD++/08=")</f>
        <v>#VALUE!</v>
      </c>
      <c r="CC8" t="e">
        <f>AND(Лист2!G65,"AAAAAD++/1A=")</f>
        <v>#VALUE!</v>
      </c>
      <c r="CD8" t="e">
        <f>AND(Лист2!H65,"AAAAAD++/1E=")</f>
        <v>#VALUE!</v>
      </c>
      <c r="CE8" t="e">
        <f>AND(Лист2!I65,"AAAAAD++/1I=")</f>
        <v>#VALUE!</v>
      </c>
      <c r="CF8" t="e">
        <f>AND(Лист2!J65,"AAAAAD++/1M=")</f>
        <v>#VALUE!</v>
      </c>
      <c r="CG8" t="e">
        <f>AND(Лист2!K65,"AAAAAD++/1Q=")</f>
        <v>#VALUE!</v>
      </c>
      <c r="CH8" t="e">
        <f>AND(Лист2!L65,"AAAAAD++/1U=")</f>
        <v>#VALUE!</v>
      </c>
      <c r="CI8" t="e">
        <f>AND(Лист2!M65,"AAAAAD++/1Y=")</f>
        <v>#VALUE!</v>
      </c>
      <c r="CJ8">
        <f>IF(Лист2!66:66,"AAAAAD++/1c=",0)</f>
        <v>0</v>
      </c>
      <c r="CK8" t="e">
        <f>AND(Лист2!A66,"AAAAAD++/1g=")</f>
        <v>#VALUE!</v>
      </c>
      <c r="CL8" t="e">
        <f>AND(Лист2!B66,"AAAAAD++/1k=")</f>
        <v>#VALUE!</v>
      </c>
      <c r="CM8" t="e">
        <f>AND(Лист2!C66,"AAAAAD++/1o=")</f>
        <v>#VALUE!</v>
      </c>
      <c r="CN8" t="e">
        <f>AND(Лист2!D66,"AAAAAD++/1s=")</f>
        <v>#VALUE!</v>
      </c>
      <c r="CO8" t="e">
        <f>AND(Лист2!E66,"AAAAAD++/1w=")</f>
        <v>#VALUE!</v>
      </c>
      <c r="CP8" t="e">
        <f>AND(Лист2!F66,"AAAAAD++/10=")</f>
        <v>#VALUE!</v>
      </c>
      <c r="CQ8" t="e">
        <f>AND(Лист2!G66,"AAAAAD++/14=")</f>
        <v>#VALUE!</v>
      </c>
      <c r="CR8" t="e">
        <f>AND(Лист2!H66,"AAAAAD++/18=")</f>
        <v>#VALUE!</v>
      </c>
      <c r="CS8" t="e">
        <f>AND(Лист2!I66,"AAAAAD++/2A=")</f>
        <v>#VALUE!</v>
      </c>
      <c r="CT8" t="e">
        <f>AND(Лист2!J66,"AAAAAD++/2E=")</f>
        <v>#VALUE!</v>
      </c>
      <c r="CU8" t="e">
        <f>AND(Лист2!K66,"AAAAAD++/2I=")</f>
        <v>#VALUE!</v>
      </c>
      <c r="CV8" t="e">
        <f>AND(Лист2!L66,"AAAAAD++/2M=")</f>
        <v>#VALUE!</v>
      </c>
      <c r="CW8" t="e">
        <f>AND(Лист2!M66,"AAAAAD++/2Q=")</f>
        <v>#VALUE!</v>
      </c>
      <c r="CX8">
        <f>IF(Лист2!67:67,"AAAAAD++/2U=",0)</f>
        <v>0</v>
      </c>
      <c r="CY8" t="e">
        <f>AND(Лист2!A67,"AAAAAD++/2Y=")</f>
        <v>#VALUE!</v>
      </c>
      <c r="CZ8" t="e">
        <f>AND(Лист2!B67,"AAAAAD++/2c=")</f>
        <v>#VALUE!</v>
      </c>
      <c r="DA8" t="e">
        <f>AND(Лист2!C67,"AAAAAD++/2g=")</f>
        <v>#VALUE!</v>
      </c>
      <c r="DB8" t="e">
        <f>AND(Лист2!D67,"AAAAAD++/2k=")</f>
        <v>#VALUE!</v>
      </c>
      <c r="DC8" t="e">
        <f>AND(Лист2!E67,"AAAAAD++/2o=")</f>
        <v>#VALUE!</v>
      </c>
      <c r="DD8" t="e">
        <f>AND(Лист2!F67,"AAAAAD++/2s=")</f>
        <v>#VALUE!</v>
      </c>
      <c r="DE8" t="e">
        <f>AND(Лист2!G67,"AAAAAD++/2w=")</f>
        <v>#VALUE!</v>
      </c>
      <c r="DF8" t="e">
        <f>AND(Лист2!H67,"AAAAAD++/20=")</f>
        <v>#VALUE!</v>
      </c>
      <c r="DG8" t="e">
        <f>AND(Лист2!I67,"AAAAAD++/24=")</f>
        <v>#VALUE!</v>
      </c>
      <c r="DH8" t="e">
        <f>AND(Лист2!J67,"AAAAAD++/28=")</f>
        <v>#VALUE!</v>
      </c>
      <c r="DI8" t="e">
        <f>AND(Лист2!K67,"AAAAAD++/3A=")</f>
        <v>#VALUE!</v>
      </c>
      <c r="DJ8" t="e">
        <f>AND(Лист2!L67,"AAAAAD++/3E=")</f>
        <v>#VALUE!</v>
      </c>
      <c r="DK8" t="e">
        <f>AND(Лист2!M67,"AAAAAD++/3I=")</f>
        <v>#VALUE!</v>
      </c>
      <c r="DL8">
        <f>IF(Лист2!68:68,"AAAAAD++/3M=",0)</f>
        <v>0</v>
      </c>
      <c r="DM8" t="e">
        <f>AND(Лист2!A68,"AAAAAD++/3Q=")</f>
        <v>#VALUE!</v>
      </c>
      <c r="DN8" t="e">
        <f>AND(Лист2!B68,"AAAAAD++/3U=")</f>
        <v>#VALUE!</v>
      </c>
      <c r="DO8" t="e">
        <f>AND(Лист2!C68,"AAAAAD++/3Y=")</f>
        <v>#VALUE!</v>
      </c>
      <c r="DP8" t="e">
        <f>AND(Лист2!D68,"AAAAAD++/3c=")</f>
        <v>#VALUE!</v>
      </c>
      <c r="DQ8" t="e">
        <f>AND(Лист2!E68,"AAAAAD++/3g=")</f>
        <v>#VALUE!</v>
      </c>
      <c r="DR8" t="e">
        <f>AND(Лист2!F68,"AAAAAD++/3k=")</f>
        <v>#VALUE!</v>
      </c>
      <c r="DS8" t="e">
        <f>AND(Лист2!G68,"AAAAAD++/3o=")</f>
        <v>#VALUE!</v>
      </c>
      <c r="DT8" t="e">
        <f>AND(Лист2!H68,"AAAAAD++/3s=")</f>
        <v>#VALUE!</v>
      </c>
      <c r="DU8" t="e">
        <f>AND(Лист2!I68,"AAAAAD++/3w=")</f>
        <v>#VALUE!</v>
      </c>
      <c r="DV8" t="e">
        <f>AND(Лист2!J68,"AAAAAD++/30=")</f>
        <v>#VALUE!</v>
      </c>
      <c r="DW8" t="e">
        <f>AND(Лист2!K68,"AAAAAD++/34=")</f>
        <v>#VALUE!</v>
      </c>
      <c r="DX8" t="e">
        <f>AND(Лист2!L68,"AAAAAD++/38=")</f>
        <v>#VALUE!</v>
      </c>
      <c r="DY8" t="e">
        <f>AND(Лист2!M68,"AAAAAD++/4A=")</f>
        <v>#VALUE!</v>
      </c>
      <c r="DZ8">
        <f>IF(Лист2!69:69,"AAAAAD++/4E=",0)</f>
        <v>0</v>
      </c>
      <c r="EA8" t="e">
        <f>AND(Лист2!A69,"AAAAAD++/4I=")</f>
        <v>#VALUE!</v>
      </c>
      <c r="EB8" t="e">
        <f>AND(Лист2!B69,"AAAAAD++/4M=")</f>
        <v>#VALUE!</v>
      </c>
      <c r="EC8" t="e">
        <f>AND(Лист2!C69,"AAAAAD++/4Q=")</f>
        <v>#VALUE!</v>
      </c>
      <c r="ED8" t="e">
        <f>AND(Лист2!D69,"AAAAAD++/4U=")</f>
        <v>#VALUE!</v>
      </c>
      <c r="EE8" t="e">
        <f>AND(Лист2!E69,"AAAAAD++/4Y=")</f>
        <v>#VALUE!</v>
      </c>
      <c r="EF8" t="e">
        <f>AND(Лист2!F69,"AAAAAD++/4c=")</f>
        <v>#VALUE!</v>
      </c>
      <c r="EG8" t="e">
        <f>AND(Лист2!G69,"AAAAAD++/4g=")</f>
        <v>#VALUE!</v>
      </c>
      <c r="EH8" t="e">
        <f>AND(Лист2!H69,"AAAAAD++/4k=")</f>
        <v>#VALUE!</v>
      </c>
      <c r="EI8" t="e">
        <f>AND(Лист2!I69,"AAAAAD++/4o=")</f>
        <v>#VALUE!</v>
      </c>
      <c r="EJ8" t="e">
        <f>AND(Лист2!J69,"AAAAAD++/4s=")</f>
        <v>#VALUE!</v>
      </c>
      <c r="EK8" t="e">
        <f>AND(Лист2!K69,"AAAAAD++/4w=")</f>
        <v>#VALUE!</v>
      </c>
      <c r="EL8" t="e">
        <f>AND(Лист2!L69,"AAAAAD++/40=")</f>
        <v>#VALUE!</v>
      </c>
      <c r="EM8" t="e">
        <f>AND(Лист2!M69,"AAAAAD++/44=")</f>
        <v>#VALUE!</v>
      </c>
      <c r="EN8">
        <f>IF(Лист2!70:70,"AAAAAD++/48=",0)</f>
        <v>0</v>
      </c>
      <c r="EO8" t="e">
        <f>AND(Лист2!A70,"AAAAAD++/5A=")</f>
        <v>#VALUE!</v>
      </c>
      <c r="EP8" t="e">
        <f>AND(Лист2!B70,"AAAAAD++/5E=")</f>
        <v>#VALUE!</v>
      </c>
      <c r="EQ8" t="e">
        <f>AND(Лист2!C70,"AAAAAD++/5I=")</f>
        <v>#VALUE!</v>
      </c>
      <c r="ER8" t="e">
        <f>AND(Лист2!D70,"AAAAAD++/5M=")</f>
        <v>#VALUE!</v>
      </c>
      <c r="ES8" t="e">
        <f>AND(Лист2!E70,"AAAAAD++/5Q=")</f>
        <v>#VALUE!</v>
      </c>
      <c r="ET8" t="e">
        <f>AND(Лист2!F70,"AAAAAD++/5U=")</f>
        <v>#VALUE!</v>
      </c>
      <c r="EU8" t="e">
        <f>AND(Лист2!G70,"AAAAAD++/5Y=")</f>
        <v>#VALUE!</v>
      </c>
      <c r="EV8" t="e">
        <f>AND(Лист2!H70,"AAAAAD++/5c=")</f>
        <v>#VALUE!</v>
      </c>
      <c r="EW8" t="e">
        <f>AND(Лист2!I70,"AAAAAD++/5g=")</f>
        <v>#VALUE!</v>
      </c>
      <c r="EX8" t="e">
        <f>AND(Лист2!J70,"AAAAAD++/5k=")</f>
        <v>#VALUE!</v>
      </c>
      <c r="EY8" t="e">
        <f>AND(Лист2!K70,"AAAAAD++/5o=")</f>
        <v>#VALUE!</v>
      </c>
      <c r="EZ8" t="e">
        <f>AND(Лист2!L70,"AAAAAD++/5s=")</f>
        <v>#VALUE!</v>
      </c>
      <c r="FA8" t="e">
        <f>AND(Лист2!M70,"AAAAAD++/5w=")</f>
        <v>#VALUE!</v>
      </c>
      <c r="FB8">
        <f>IF(Лист2!71:71,"AAAAAD++/50=",0)</f>
        <v>0</v>
      </c>
      <c r="FC8" t="e">
        <f>AND(Лист2!A71,"AAAAAD++/54=")</f>
        <v>#VALUE!</v>
      </c>
      <c r="FD8" t="e">
        <f>AND(Лист2!B71,"AAAAAD++/58=")</f>
        <v>#VALUE!</v>
      </c>
      <c r="FE8" t="e">
        <f>AND(Лист2!C71,"AAAAAD++/6A=")</f>
        <v>#VALUE!</v>
      </c>
      <c r="FF8" t="e">
        <f>AND(Лист2!D71,"AAAAAD++/6E=")</f>
        <v>#VALUE!</v>
      </c>
      <c r="FG8" t="e">
        <f>AND(Лист2!E71,"AAAAAD++/6I=")</f>
        <v>#VALUE!</v>
      </c>
      <c r="FH8" t="e">
        <f>AND(Лист2!F71,"AAAAAD++/6M=")</f>
        <v>#VALUE!</v>
      </c>
      <c r="FI8" t="e">
        <f>AND(Лист2!G71,"AAAAAD++/6Q=")</f>
        <v>#VALUE!</v>
      </c>
      <c r="FJ8" t="e">
        <f>AND(Лист2!H71,"AAAAAD++/6U=")</f>
        <v>#VALUE!</v>
      </c>
      <c r="FK8" t="e">
        <f>AND(Лист2!I71,"AAAAAD++/6Y=")</f>
        <v>#VALUE!</v>
      </c>
      <c r="FL8" t="e">
        <f>AND(Лист2!J71,"AAAAAD++/6c=")</f>
        <v>#VALUE!</v>
      </c>
      <c r="FM8" t="e">
        <f>AND(Лист2!K71,"AAAAAD++/6g=")</f>
        <v>#VALUE!</v>
      </c>
      <c r="FN8" t="e">
        <f>AND(Лист2!L71,"AAAAAD++/6k=")</f>
        <v>#VALUE!</v>
      </c>
      <c r="FO8" t="e">
        <f>AND(Лист2!M71,"AAAAAD++/6o=")</f>
        <v>#VALUE!</v>
      </c>
      <c r="FP8">
        <f>IF(Лист2!72:72,"AAAAAD++/6s=",0)</f>
        <v>0</v>
      </c>
      <c r="FQ8" t="e">
        <f>AND(Лист2!A72,"AAAAAD++/6w=")</f>
        <v>#VALUE!</v>
      </c>
      <c r="FR8" t="e">
        <f>AND(Лист2!B72,"AAAAAD++/60=")</f>
        <v>#VALUE!</v>
      </c>
      <c r="FS8" t="e">
        <f>AND(Лист2!C72,"AAAAAD++/64=")</f>
        <v>#VALUE!</v>
      </c>
      <c r="FT8" t="e">
        <f>AND(Лист2!D72,"AAAAAD++/68=")</f>
        <v>#VALUE!</v>
      </c>
      <c r="FU8" t="e">
        <f>AND(Лист2!E72,"AAAAAD++/7A=")</f>
        <v>#VALUE!</v>
      </c>
      <c r="FV8" t="e">
        <f>AND(Лист2!F72,"AAAAAD++/7E=")</f>
        <v>#VALUE!</v>
      </c>
      <c r="FW8" t="e">
        <f>AND(Лист2!G72,"AAAAAD++/7I=")</f>
        <v>#VALUE!</v>
      </c>
      <c r="FX8" t="e">
        <f>AND(Лист2!H72,"AAAAAD++/7M=")</f>
        <v>#VALUE!</v>
      </c>
      <c r="FY8" t="e">
        <f>AND(Лист2!I72,"AAAAAD++/7Q=")</f>
        <v>#VALUE!</v>
      </c>
      <c r="FZ8" t="e">
        <f>AND(Лист2!J72,"AAAAAD++/7U=")</f>
        <v>#VALUE!</v>
      </c>
      <c r="GA8" t="e">
        <f>AND(Лист2!K72,"AAAAAD++/7Y=")</f>
        <v>#VALUE!</v>
      </c>
      <c r="GB8" t="e">
        <f>AND(Лист2!L72,"AAAAAD++/7c=")</f>
        <v>#VALUE!</v>
      </c>
      <c r="GC8" t="e">
        <f>AND(Лист2!M72,"AAAAAD++/7g=")</f>
        <v>#VALUE!</v>
      </c>
      <c r="GD8">
        <f>IF(Лист2!73:73,"AAAAAD++/7k=",0)</f>
        <v>0</v>
      </c>
      <c r="GE8" t="e">
        <f>AND(Лист2!A73,"AAAAAD++/7o=")</f>
        <v>#VALUE!</v>
      </c>
      <c r="GF8" t="e">
        <f>AND(Лист2!B73,"AAAAAD++/7s=")</f>
        <v>#VALUE!</v>
      </c>
      <c r="GG8" t="e">
        <f>AND(Лист2!C73,"AAAAAD++/7w=")</f>
        <v>#VALUE!</v>
      </c>
      <c r="GH8" t="e">
        <f>AND(Лист2!D73,"AAAAAD++/70=")</f>
        <v>#VALUE!</v>
      </c>
      <c r="GI8" t="e">
        <f>AND(Лист2!E73,"AAAAAD++/74=")</f>
        <v>#VALUE!</v>
      </c>
      <c r="GJ8" t="e">
        <f>AND(Лист2!F73,"AAAAAD++/78=")</f>
        <v>#VALUE!</v>
      </c>
      <c r="GK8" t="e">
        <f>AND(Лист2!G73,"AAAAAD++/8A=")</f>
        <v>#VALUE!</v>
      </c>
      <c r="GL8" t="e">
        <f>AND(Лист2!H73,"AAAAAD++/8E=")</f>
        <v>#VALUE!</v>
      </c>
      <c r="GM8" t="e">
        <f>AND(Лист2!I73,"AAAAAD++/8I=")</f>
        <v>#VALUE!</v>
      </c>
      <c r="GN8" t="e">
        <f>AND(Лист2!J73,"AAAAAD++/8M=")</f>
        <v>#VALUE!</v>
      </c>
      <c r="GO8" t="e">
        <f>AND(Лист2!K73,"AAAAAD++/8Q=")</f>
        <v>#VALUE!</v>
      </c>
      <c r="GP8" t="e">
        <f>AND(Лист2!L73,"AAAAAD++/8U=")</f>
        <v>#VALUE!</v>
      </c>
      <c r="GQ8" t="e">
        <f>AND(Лист2!M73,"AAAAAD++/8Y=")</f>
        <v>#VALUE!</v>
      </c>
      <c r="GR8">
        <f>IF(Лист2!74:74,"AAAAAD++/8c=",0)</f>
        <v>0</v>
      </c>
      <c r="GS8" t="e">
        <f>AND(Лист2!A74,"AAAAAD++/8g=")</f>
        <v>#VALUE!</v>
      </c>
      <c r="GT8" t="e">
        <f>AND(Лист2!B74,"AAAAAD++/8k=")</f>
        <v>#VALUE!</v>
      </c>
      <c r="GU8" t="e">
        <f>AND(Лист2!C74,"AAAAAD++/8o=")</f>
        <v>#VALUE!</v>
      </c>
      <c r="GV8" t="e">
        <f>AND(Лист2!D74,"AAAAAD++/8s=")</f>
        <v>#VALUE!</v>
      </c>
      <c r="GW8" t="e">
        <f>AND(Лист2!E74,"AAAAAD++/8w=")</f>
        <v>#VALUE!</v>
      </c>
      <c r="GX8" t="e">
        <f>AND(Лист2!F74,"AAAAAD++/80=")</f>
        <v>#VALUE!</v>
      </c>
      <c r="GY8" t="e">
        <f>AND(Лист2!G74,"AAAAAD++/84=")</f>
        <v>#VALUE!</v>
      </c>
      <c r="GZ8" t="e">
        <f>AND(Лист2!H74,"AAAAAD++/88=")</f>
        <v>#VALUE!</v>
      </c>
      <c r="HA8" t="e">
        <f>AND(Лист2!I74,"AAAAAD++/9A=")</f>
        <v>#VALUE!</v>
      </c>
      <c r="HB8" t="e">
        <f>AND(Лист2!J74,"AAAAAD++/9E=")</f>
        <v>#VALUE!</v>
      </c>
      <c r="HC8" t="e">
        <f>AND(Лист2!K74,"AAAAAD++/9I=")</f>
        <v>#VALUE!</v>
      </c>
      <c r="HD8" t="e">
        <f>AND(Лист2!L74,"AAAAAD++/9M=")</f>
        <v>#VALUE!</v>
      </c>
      <c r="HE8" t="e">
        <f>AND(Лист2!M74,"AAAAAD++/9Q=")</f>
        <v>#VALUE!</v>
      </c>
      <c r="HF8">
        <f>IF(Лист2!75:75,"AAAAAD++/9U=",0)</f>
        <v>0</v>
      </c>
      <c r="HG8" t="e">
        <f>AND(Лист2!A75,"AAAAAD++/9Y=")</f>
        <v>#VALUE!</v>
      </c>
      <c r="HH8" t="e">
        <f>AND(Лист2!B75,"AAAAAD++/9c=")</f>
        <v>#VALUE!</v>
      </c>
      <c r="HI8" t="e">
        <f>AND(Лист2!C75,"AAAAAD++/9g=")</f>
        <v>#VALUE!</v>
      </c>
      <c r="HJ8" t="e">
        <f>AND(Лист2!D75,"AAAAAD++/9k=")</f>
        <v>#VALUE!</v>
      </c>
      <c r="HK8" t="e">
        <f>AND(Лист2!E75,"AAAAAD++/9o=")</f>
        <v>#VALUE!</v>
      </c>
      <c r="HL8" t="e">
        <f>AND(Лист2!F75,"AAAAAD++/9s=")</f>
        <v>#VALUE!</v>
      </c>
      <c r="HM8" t="e">
        <f>AND(Лист2!G75,"AAAAAD++/9w=")</f>
        <v>#VALUE!</v>
      </c>
      <c r="HN8" t="e">
        <f>AND(Лист2!H75,"AAAAAD++/90=")</f>
        <v>#VALUE!</v>
      </c>
      <c r="HO8" t="e">
        <f>AND(Лист2!I75,"AAAAAD++/94=")</f>
        <v>#VALUE!</v>
      </c>
      <c r="HP8" t="e">
        <f>AND(Лист2!J75,"AAAAAD++/98=")</f>
        <v>#VALUE!</v>
      </c>
      <c r="HQ8" t="e">
        <f>AND(Лист2!K75,"AAAAAD++/+A=")</f>
        <v>#VALUE!</v>
      </c>
      <c r="HR8" t="e">
        <f>AND(Лист2!L75,"AAAAAD++/+E=")</f>
        <v>#VALUE!</v>
      </c>
      <c r="HS8" t="e">
        <f>AND(Лист2!M75,"AAAAAD++/+I=")</f>
        <v>#VALUE!</v>
      </c>
      <c r="HT8">
        <f>IF(Лист2!76:76,"AAAAAD++/+M=",0)</f>
        <v>0</v>
      </c>
      <c r="HU8" t="e">
        <f>AND(Лист2!A76,"AAAAAD++/+Q=")</f>
        <v>#VALUE!</v>
      </c>
      <c r="HV8" t="e">
        <f>AND(Лист2!B76,"AAAAAD++/+U=")</f>
        <v>#VALUE!</v>
      </c>
      <c r="HW8" t="e">
        <f>AND(Лист2!C76,"AAAAAD++/+Y=")</f>
        <v>#VALUE!</v>
      </c>
      <c r="HX8" t="e">
        <f>AND(Лист2!D76,"AAAAAD++/+c=")</f>
        <v>#VALUE!</v>
      </c>
      <c r="HY8" t="e">
        <f>AND(Лист2!E76,"AAAAAD++/+g=")</f>
        <v>#VALUE!</v>
      </c>
      <c r="HZ8" t="e">
        <f>AND(Лист2!F76,"AAAAAD++/+k=")</f>
        <v>#VALUE!</v>
      </c>
      <c r="IA8" t="e">
        <f>AND(Лист2!G76,"AAAAAD++/+o=")</f>
        <v>#VALUE!</v>
      </c>
      <c r="IB8" t="e">
        <f>AND(Лист2!H76,"AAAAAD++/+s=")</f>
        <v>#VALUE!</v>
      </c>
      <c r="IC8" t="e">
        <f>AND(Лист2!I76,"AAAAAD++/+w=")</f>
        <v>#VALUE!</v>
      </c>
      <c r="ID8" t="e">
        <f>AND(Лист2!J76,"AAAAAD++/+0=")</f>
        <v>#VALUE!</v>
      </c>
      <c r="IE8" t="e">
        <f>AND(Лист2!K76,"AAAAAD++/+4=")</f>
        <v>#VALUE!</v>
      </c>
      <c r="IF8" t="e">
        <f>AND(Лист2!L76,"AAAAAD++/+8=")</f>
        <v>#VALUE!</v>
      </c>
      <c r="IG8" t="e">
        <f>AND(Лист2!M76,"AAAAAD++//A=")</f>
        <v>#VALUE!</v>
      </c>
      <c r="IH8">
        <f>IF(Лист2!77:77,"AAAAAD++//E=",0)</f>
        <v>0</v>
      </c>
      <c r="II8" t="e">
        <f>AND(Лист2!A77,"AAAAAD++//I=")</f>
        <v>#VALUE!</v>
      </c>
      <c r="IJ8" t="e">
        <f>AND(Лист2!B77,"AAAAAD++//M=")</f>
        <v>#VALUE!</v>
      </c>
      <c r="IK8" t="e">
        <f>AND(Лист2!C77,"AAAAAD++//Q=")</f>
        <v>#VALUE!</v>
      </c>
      <c r="IL8" t="e">
        <f>AND(Лист2!D77,"AAAAAD++//U=")</f>
        <v>#VALUE!</v>
      </c>
      <c r="IM8" t="e">
        <f>AND(Лист2!E77,"AAAAAD++//Y=")</f>
        <v>#VALUE!</v>
      </c>
      <c r="IN8" t="e">
        <f>AND(Лист2!F77,"AAAAAD++//c=")</f>
        <v>#VALUE!</v>
      </c>
      <c r="IO8" t="e">
        <f>AND(Лист2!G77,"AAAAAD++//g=")</f>
        <v>#VALUE!</v>
      </c>
      <c r="IP8" t="e">
        <f>AND(Лист2!H77,"AAAAAD++//k=")</f>
        <v>#VALUE!</v>
      </c>
      <c r="IQ8" t="e">
        <f>AND(Лист2!I77,"AAAAAD++//o=")</f>
        <v>#VALUE!</v>
      </c>
      <c r="IR8" t="e">
        <f>AND(Лист2!J77,"AAAAAD++//s=")</f>
        <v>#VALUE!</v>
      </c>
      <c r="IS8" t="e">
        <f>AND(Лист2!K77,"AAAAAD++//w=")</f>
        <v>#VALUE!</v>
      </c>
      <c r="IT8" t="e">
        <f>AND(Лист2!L77,"AAAAAD++//0=")</f>
        <v>#VALUE!</v>
      </c>
      <c r="IU8" t="e">
        <f>AND(Лист2!M77,"AAAAAD++//4=")</f>
        <v>#VALUE!</v>
      </c>
      <c r="IV8">
        <f>IF(Лист2!78:78,"AAAAAD++//8=",0)</f>
        <v>0</v>
      </c>
    </row>
    <row r="9" spans="1:160" ht="12.75">
      <c r="A9" t="e">
        <f>AND(Лист2!A78,"AAAAAH/98QA=")</f>
        <v>#VALUE!</v>
      </c>
      <c r="B9" t="e">
        <f>AND(Лист2!B78,"AAAAAH/98QE=")</f>
        <v>#VALUE!</v>
      </c>
      <c r="C9" t="e">
        <f>AND(Лист2!C78,"AAAAAH/98QI=")</f>
        <v>#VALUE!</v>
      </c>
      <c r="D9" t="e">
        <f>AND(Лист2!D78,"AAAAAH/98QM=")</f>
        <v>#VALUE!</v>
      </c>
      <c r="E9" t="e">
        <f>AND(Лист2!E78,"AAAAAH/98QQ=")</f>
        <v>#VALUE!</v>
      </c>
      <c r="F9" t="e">
        <f>AND(Лист2!F78,"AAAAAH/98QU=")</f>
        <v>#VALUE!</v>
      </c>
      <c r="G9" t="e">
        <f>AND(Лист2!G78,"AAAAAH/98QY=")</f>
        <v>#VALUE!</v>
      </c>
      <c r="H9" t="e">
        <f>AND(Лист2!H78,"AAAAAH/98Qc=")</f>
        <v>#VALUE!</v>
      </c>
      <c r="I9" t="e">
        <f>AND(Лист2!I78,"AAAAAH/98Qg=")</f>
        <v>#VALUE!</v>
      </c>
      <c r="J9" t="e">
        <f>AND(Лист2!J78,"AAAAAH/98Qk=")</f>
        <v>#VALUE!</v>
      </c>
      <c r="K9" t="e">
        <f>AND(Лист2!K78,"AAAAAH/98Qo=")</f>
        <v>#VALUE!</v>
      </c>
      <c r="L9" t="e">
        <f>AND(Лист2!L78,"AAAAAH/98Qs=")</f>
        <v>#VALUE!</v>
      </c>
      <c r="M9" t="e">
        <f>AND(Лист2!M78,"AAAAAH/98Qw=")</f>
        <v>#VALUE!</v>
      </c>
      <c r="N9">
        <f>IF(Лист2!79:79,"AAAAAH/98Q0=",0)</f>
        <v>0</v>
      </c>
      <c r="O9" t="e">
        <f>AND(Лист2!A79,"AAAAAH/98Q4=")</f>
        <v>#VALUE!</v>
      </c>
      <c r="P9" t="e">
        <f>AND(Лист2!B79,"AAAAAH/98Q8=")</f>
        <v>#VALUE!</v>
      </c>
      <c r="Q9" t="e">
        <f>AND(Лист2!C79,"AAAAAH/98RA=")</f>
        <v>#VALUE!</v>
      </c>
      <c r="R9" t="e">
        <f>AND(Лист2!D79,"AAAAAH/98RE=")</f>
        <v>#VALUE!</v>
      </c>
      <c r="S9" t="e">
        <f>AND(Лист2!E79,"AAAAAH/98RI=")</f>
        <v>#VALUE!</v>
      </c>
      <c r="T9" t="e">
        <f>AND(Лист2!F79,"AAAAAH/98RM=")</f>
        <v>#VALUE!</v>
      </c>
      <c r="U9" t="e">
        <f>AND(Лист2!G79,"AAAAAH/98RQ=")</f>
        <v>#VALUE!</v>
      </c>
      <c r="V9" t="e">
        <f>AND(Лист2!H79,"AAAAAH/98RU=")</f>
        <v>#VALUE!</v>
      </c>
      <c r="W9" t="e">
        <f>AND(Лист2!I79,"AAAAAH/98RY=")</f>
        <v>#VALUE!</v>
      </c>
      <c r="X9" t="e">
        <f>AND(Лист2!J79,"AAAAAH/98Rc=")</f>
        <v>#VALUE!</v>
      </c>
      <c r="Y9" t="e">
        <f>AND(Лист2!K79,"AAAAAH/98Rg=")</f>
        <v>#VALUE!</v>
      </c>
      <c r="Z9" t="e">
        <f>AND(Лист2!L79,"AAAAAH/98Rk=")</f>
        <v>#VALUE!</v>
      </c>
      <c r="AA9" t="e">
        <f>AND(Лист2!M79,"AAAAAH/98Ro=")</f>
        <v>#VALUE!</v>
      </c>
      <c r="AB9">
        <f>IF(Лист2!80:80,"AAAAAH/98Rs=",0)</f>
        <v>0</v>
      </c>
      <c r="AC9" t="e">
        <f>AND(Лист2!A80,"AAAAAH/98Rw=")</f>
        <v>#VALUE!</v>
      </c>
      <c r="AD9" t="e">
        <f>AND(Лист2!B80,"AAAAAH/98R0=")</f>
        <v>#VALUE!</v>
      </c>
      <c r="AE9" t="e">
        <f>AND(Лист2!C80,"AAAAAH/98R4=")</f>
        <v>#VALUE!</v>
      </c>
      <c r="AF9" t="e">
        <f>AND(Лист2!D80,"AAAAAH/98R8=")</f>
        <v>#VALUE!</v>
      </c>
      <c r="AG9" t="e">
        <f>AND(Лист2!E80,"AAAAAH/98SA=")</f>
        <v>#VALUE!</v>
      </c>
      <c r="AH9" t="e">
        <f>AND(Лист2!F80,"AAAAAH/98SE=")</f>
        <v>#VALUE!</v>
      </c>
      <c r="AI9" t="e">
        <f>AND(Лист2!G80,"AAAAAH/98SI=")</f>
        <v>#VALUE!</v>
      </c>
      <c r="AJ9" t="e">
        <f>AND(Лист2!H80,"AAAAAH/98SM=")</f>
        <v>#VALUE!</v>
      </c>
      <c r="AK9" t="e">
        <f>AND(Лист2!I80,"AAAAAH/98SQ=")</f>
        <v>#VALUE!</v>
      </c>
      <c r="AL9" t="e">
        <f>AND(Лист2!J80,"AAAAAH/98SU=")</f>
        <v>#VALUE!</v>
      </c>
      <c r="AM9" t="e">
        <f>AND(Лист2!K80,"AAAAAH/98SY=")</f>
        <v>#VALUE!</v>
      </c>
      <c r="AN9" t="e">
        <f>AND(Лист2!L80,"AAAAAH/98Sc=")</f>
        <v>#VALUE!</v>
      </c>
      <c r="AO9" t="e">
        <f>AND(Лист2!M80,"AAAAAH/98Sg=")</f>
        <v>#VALUE!</v>
      </c>
      <c r="AP9">
        <f>IF(Лист2!81:81,"AAAAAH/98Sk=",0)</f>
        <v>0</v>
      </c>
      <c r="AQ9" t="e">
        <f>AND(Лист2!A81,"AAAAAH/98So=")</f>
        <v>#VALUE!</v>
      </c>
      <c r="AR9" t="e">
        <f>AND(Лист2!B81,"AAAAAH/98Ss=")</f>
        <v>#VALUE!</v>
      </c>
      <c r="AS9" t="e">
        <f>AND(Лист2!C81,"AAAAAH/98Sw=")</f>
        <v>#VALUE!</v>
      </c>
      <c r="AT9" t="e">
        <f>AND(Лист2!D81,"AAAAAH/98S0=")</f>
        <v>#VALUE!</v>
      </c>
      <c r="AU9" t="e">
        <f>AND(Лист2!E81,"AAAAAH/98S4=")</f>
        <v>#VALUE!</v>
      </c>
      <c r="AV9" t="e">
        <f>AND(Лист2!F81,"AAAAAH/98S8=")</f>
        <v>#VALUE!</v>
      </c>
      <c r="AW9" t="e">
        <f>AND(Лист2!G81,"AAAAAH/98TA=")</f>
        <v>#VALUE!</v>
      </c>
      <c r="AX9" t="e">
        <f>AND(Лист2!H81,"AAAAAH/98TE=")</f>
        <v>#VALUE!</v>
      </c>
      <c r="AY9" t="e">
        <f>AND(Лист2!I81,"AAAAAH/98TI=")</f>
        <v>#VALUE!</v>
      </c>
      <c r="AZ9" t="e">
        <f>AND(Лист2!J81,"AAAAAH/98TM=")</f>
        <v>#VALUE!</v>
      </c>
      <c r="BA9" t="e">
        <f>AND(Лист2!K81,"AAAAAH/98TQ=")</f>
        <v>#VALUE!</v>
      </c>
      <c r="BB9" t="e">
        <f>AND(Лист2!L81,"AAAAAH/98TU=")</f>
        <v>#VALUE!</v>
      </c>
      <c r="BC9" t="e">
        <f>AND(Лист2!M81,"AAAAAH/98TY=")</f>
        <v>#VALUE!</v>
      </c>
      <c r="BD9">
        <f>IF(Лист2!82:82,"AAAAAH/98Tc=",0)</f>
        <v>0</v>
      </c>
      <c r="BE9" t="e">
        <f>AND(Лист2!A82,"AAAAAH/98Tg=")</f>
        <v>#VALUE!</v>
      </c>
      <c r="BF9" t="e">
        <f>AND(Лист2!B82,"AAAAAH/98Tk=")</f>
        <v>#VALUE!</v>
      </c>
      <c r="BG9" t="e">
        <f>AND(Лист2!C82,"AAAAAH/98To=")</f>
        <v>#VALUE!</v>
      </c>
      <c r="BH9" t="e">
        <f>AND(Лист2!D82,"AAAAAH/98Ts=")</f>
        <v>#VALUE!</v>
      </c>
      <c r="BI9" t="e">
        <f>AND(Лист2!E82,"AAAAAH/98Tw=")</f>
        <v>#VALUE!</v>
      </c>
      <c r="BJ9" t="e">
        <f>AND(Лист2!F82,"AAAAAH/98T0=")</f>
        <v>#VALUE!</v>
      </c>
      <c r="BK9" t="e">
        <f>AND(Лист2!G82,"AAAAAH/98T4=")</f>
        <v>#VALUE!</v>
      </c>
      <c r="BL9" t="e">
        <f>AND(Лист2!H82,"AAAAAH/98T8=")</f>
        <v>#VALUE!</v>
      </c>
      <c r="BM9" t="e">
        <f>AND(Лист2!I82,"AAAAAH/98UA=")</f>
        <v>#VALUE!</v>
      </c>
      <c r="BN9" t="e">
        <f>AND(Лист2!J82,"AAAAAH/98UE=")</f>
        <v>#VALUE!</v>
      </c>
      <c r="BO9" t="e">
        <f>AND(Лист2!K82,"AAAAAH/98UI=")</f>
        <v>#VALUE!</v>
      </c>
      <c r="BP9" t="e">
        <f>AND(Лист2!L82,"AAAAAH/98UM=")</f>
        <v>#VALUE!</v>
      </c>
      <c r="BQ9" t="e">
        <f>AND(Лист2!M82,"AAAAAH/98UQ=")</f>
        <v>#VALUE!</v>
      </c>
      <c r="BR9">
        <f>IF(Лист2!83:83,"AAAAAH/98UU=",0)</f>
        <v>0</v>
      </c>
      <c r="BS9" t="e">
        <f>AND(Лист2!A83,"AAAAAH/98UY=")</f>
        <v>#VALUE!</v>
      </c>
      <c r="BT9" t="e">
        <f>AND(Лист2!B83,"AAAAAH/98Uc=")</f>
        <v>#VALUE!</v>
      </c>
      <c r="BU9" t="e">
        <f>AND(Лист2!C83,"AAAAAH/98Ug=")</f>
        <v>#VALUE!</v>
      </c>
      <c r="BV9" t="e">
        <f>AND(Лист2!D83,"AAAAAH/98Uk=")</f>
        <v>#VALUE!</v>
      </c>
      <c r="BW9" t="e">
        <f>AND(Лист2!E83,"AAAAAH/98Uo=")</f>
        <v>#VALUE!</v>
      </c>
      <c r="BX9" t="e">
        <f>AND(Лист2!F83,"AAAAAH/98Us=")</f>
        <v>#VALUE!</v>
      </c>
      <c r="BY9" t="e">
        <f>AND(Лист2!G83,"AAAAAH/98Uw=")</f>
        <v>#VALUE!</v>
      </c>
      <c r="BZ9" t="e">
        <f>AND(Лист2!H83,"AAAAAH/98U0=")</f>
        <v>#VALUE!</v>
      </c>
      <c r="CA9" t="e">
        <f>AND(Лист2!I83,"AAAAAH/98U4=")</f>
        <v>#VALUE!</v>
      </c>
      <c r="CB9" t="e">
        <f>AND(Лист2!J83,"AAAAAH/98U8=")</f>
        <v>#VALUE!</v>
      </c>
      <c r="CC9" t="e">
        <f>AND(Лист2!K83,"AAAAAH/98VA=")</f>
        <v>#VALUE!</v>
      </c>
      <c r="CD9" t="e">
        <f>AND(Лист2!L83,"AAAAAH/98VE=")</f>
        <v>#VALUE!</v>
      </c>
      <c r="CE9" t="e">
        <f>AND(Лист2!M83,"AAAAAH/98VI=")</f>
        <v>#VALUE!</v>
      </c>
      <c r="CF9">
        <f>IF(Лист2!84:84,"AAAAAH/98VM=",0)</f>
        <v>0</v>
      </c>
      <c r="CG9" t="e">
        <f>AND(Лист2!A84,"AAAAAH/98VQ=")</f>
        <v>#VALUE!</v>
      </c>
      <c r="CH9" t="e">
        <f>AND(Лист2!B84,"AAAAAH/98VU=")</f>
        <v>#VALUE!</v>
      </c>
      <c r="CI9" t="e">
        <f>AND(Лист2!C84,"AAAAAH/98VY=")</f>
        <v>#VALUE!</v>
      </c>
      <c r="CJ9" t="e">
        <f>AND(Лист2!D84,"AAAAAH/98Vc=")</f>
        <v>#VALUE!</v>
      </c>
      <c r="CK9" t="e">
        <f>AND(Лист2!E84,"AAAAAH/98Vg=")</f>
        <v>#VALUE!</v>
      </c>
      <c r="CL9" t="e">
        <f>AND(Лист2!F84,"AAAAAH/98Vk=")</f>
        <v>#VALUE!</v>
      </c>
      <c r="CM9" t="e">
        <f>AND(Лист2!G84,"AAAAAH/98Vo=")</f>
        <v>#VALUE!</v>
      </c>
      <c r="CN9" t="e">
        <f>AND(Лист2!H84,"AAAAAH/98Vs=")</f>
        <v>#VALUE!</v>
      </c>
      <c r="CO9" t="e">
        <f>AND(Лист2!I84,"AAAAAH/98Vw=")</f>
        <v>#VALUE!</v>
      </c>
      <c r="CP9" t="e">
        <f>AND(Лист2!J84,"AAAAAH/98V0=")</f>
        <v>#VALUE!</v>
      </c>
      <c r="CQ9" t="e">
        <f>AND(Лист2!K84,"AAAAAH/98V4=")</f>
        <v>#VALUE!</v>
      </c>
      <c r="CR9" t="e">
        <f>AND(Лист2!L84,"AAAAAH/98V8=")</f>
        <v>#VALUE!</v>
      </c>
      <c r="CS9" t="e">
        <f>AND(Лист2!M84,"AAAAAH/98WA=")</f>
        <v>#VALUE!</v>
      </c>
      <c r="CT9">
        <f>IF(Лист2!85:85,"AAAAAH/98WE=",0)</f>
        <v>0</v>
      </c>
      <c r="CU9" t="e">
        <f>AND(Лист2!A85,"AAAAAH/98WI=")</f>
        <v>#VALUE!</v>
      </c>
      <c r="CV9" t="e">
        <f>AND(Лист2!B85,"AAAAAH/98WM=")</f>
        <v>#VALUE!</v>
      </c>
      <c r="CW9" t="e">
        <f>AND(Лист2!C85,"AAAAAH/98WQ=")</f>
        <v>#VALUE!</v>
      </c>
      <c r="CX9" t="e">
        <f>AND(Лист2!D85,"AAAAAH/98WU=")</f>
        <v>#VALUE!</v>
      </c>
      <c r="CY9" t="e">
        <f>AND(Лист2!E85,"AAAAAH/98WY=")</f>
        <v>#VALUE!</v>
      </c>
      <c r="CZ9" t="e">
        <f>AND(Лист2!F85,"AAAAAH/98Wc=")</f>
        <v>#VALUE!</v>
      </c>
      <c r="DA9" t="e">
        <f>AND(Лист2!G85,"AAAAAH/98Wg=")</f>
        <v>#VALUE!</v>
      </c>
      <c r="DB9" t="e">
        <f>AND(Лист2!H85,"AAAAAH/98Wk=")</f>
        <v>#VALUE!</v>
      </c>
      <c r="DC9" t="e">
        <f>AND(Лист2!I85,"AAAAAH/98Wo=")</f>
        <v>#VALUE!</v>
      </c>
      <c r="DD9" t="e">
        <f>AND(Лист2!J85,"AAAAAH/98Ws=")</f>
        <v>#VALUE!</v>
      </c>
      <c r="DE9" t="e">
        <f>AND(Лист2!K85,"AAAAAH/98Ww=")</f>
        <v>#VALUE!</v>
      </c>
      <c r="DF9" t="e">
        <f>AND(Лист2!L85,"AAAAAH/98W0=")</f>
        <v>#VALUE!</v>
      </c>
      <c r="DG9" t="e">
        <f>AND(Лист2!M85,"AAAAAH/98W4=")</f>
        <v>#VALUE!</v>
      </c>
      <c r="DH9">
        <f>IF(Лист2!86:86,"AAAAAH/98W8=",0)</f>
        <v>0</v>
      </c>
      <c r="DI9" t="e">
        <f>AND(Лист2!A86,"AAAAAH/98XA=")</f>
        <v>#VALUE!</v>
      </c>
      <c r="DJ9" t="e">
        <f>AND(Лист2!B86,"AAAAAH/98XE=")</f>
        <v>#VALUE!</v>
      </c>
      <c r="DK9" t="e">
        <f>AND(Лист2!C86,"AAAAAH/98XI=")</f>
        <v>#VALUE!</v>
      </c>
      <c r="DL9" t="e">
        <f>AND(Лист2!D86,"AAAAAH/98XM=")</f>
        <v>#VALUE!</v>
      </c>
      <c r="DM9" t="e">
        <f>AND(Лист2!E86,"AAAAAH/98XQ=")</f>
        <v>#VALUE!</v>
      </c>
      <c r="DN9" t="e">
        <f>AND(Лист2!F86,"AAAAAH/98XU=")</f>
        <v>#VALUE!</v>
      </c>
      <c r="DO9" t="e">
        <f>AND(Лист2!G86,"AAAAAH/98XY=")</f>
        <v>#VALUE!</v>
      </c>
      <c r="DP9" t="e">
        <f>AND(Лист2!H86,"AAAAAH/98Xc=")</f>
        <v>#VALUE!</v>
      </c>
      <c r="DQ9" t="e">
        <f>AND(Лист2!I86,"AAAAAH/98Xg=")</f>
        <v>#VALUE!</v>
      </c>
      <c r="DR9" t="e">
        <f>AND(Лист2!J86,"AAAAAH/98Xk=")</f>
        <v>#VALUE!</v>
      </c>
      <c r="DS9" t="e">
        <f>AND(Лист2!K86,"AAAAAH/98Xo=")</f>
        <v>#VALUE!</v>
      </c>
      <c r="DT9" t="e">
        <f>AND(Лист2!L86,"AAAAAH/98Xs=")</f>
        <v>#VALUE!</v>
      </c>
      <c r="DU9" t="e">
        <f>AND(Лист2!M86,"AAAAAH/98Xw=")</f>
        <v>#VALUE!</v>
      </c>
      <c r="DV9">
        <f>IF(Лист2!87:87,"AAAAAH/98X0=",0)</f>
        <v>0</v>
      </c>
      <c r="DW9">
        <f>IF(Лист2!88:88,"AAAAAH/98X4=",0)</f>
        <v>0</v>
      </c>
      <c r="DX9">
        <f>IF(Лист2!89:89,"AAAAAH/98X8=",0)</f>
        <v>0</v>
      </c>
      <c r="DY9">
        <f>IF(Лист2!90:90,"AAAAAH/98YA=",0)</f>
        <v>0</v>
      </c>
      <c r="DZ9">
        <f>IF(Лист2!91:91,"AAAAAH/98YE=",0)</f>
        <v>0</v>
      </c>
      <c r="EA9">
        <f>IF(Лист2!92:92,"AAAAAH/98YI=",0)</f>
        <v>0</v>
      </c>
      <c r="EB9">
        <f>IF(Лист2!93:93,"AAAAAH/98YM=",0)</f>
        <v>0</v>
      </c>
      <c r="EC9">
        <f>IF(Лист2!94:94,"AAAAAH/98YQ=",0)</f>
        <v>0</v>
      </c>
      <c r="ED9">
        <f>IF(Лист2!95:95,"AAAAAH/98YU=",0)</f>
        <v>0</v>
      </c>
      <c r="EE9">
        <f>IF(Лист2!96:96,"AAAAAH/98YY=",0)</f>
        <v>0</v>
      </c>
      <c r="EF9">
        <f>IF(Лист2!97:97,"AAAAAH/98Yc=",0)</f>
        <v>0</v>
      </c>
      <c r="EG9">
        <f>IF(Лист2!98:98,"AAAAAH/98Yg=",0)</f>
        <v>0</v>
      </c>
      <c r="EH9">
        <f>IF(Лист2!99:99,"AAAAAH/98Yk=",0)</f>
        <v>0</v>
      </c>
      <c r="EI9">
        <f>IF(Лист2!100:100,"AAAAAH/98Yo=",0)</f>
        <v>0</v>
      </c>
      <c r="EJ9">
        <f>IF(Лист2!101:101,"AAAAAH/98Ys=",0)</f>
        <v>0</v>
      </c>
      <c r="EK9">
        <f>IF(Лист2!102:102,"AAAAAH/98Yw=",0)</f>
        <v>0</v>
      </c>
      <c r="EL9">
        <f>IF(Лист2!103:103,"AAAAAH/98Y0=",0)</f>
        <v>0</v>
      </c>
      <c r="EM9">
        <f>IF(Лист2!104:104,"AAAAAH/98Y4=",0)</f>
        <v>0</v>
      </c>
      <c r="EN9">
        <f>IF(Лист2!105:105,"AAAAAH/98Y8=",0)</f>
        <v>0</v>
      </c>
      <c r="EO9">
        <f>IF(Лист2!106:106,"AAAAAH/98ZA=",0)</f>
        <v>0</v>
      </c>
      <c r="EP9">
        <f>IF(Лист2!A:A,"AAAAAH/98ZE=",0)</f>
        <v>0</v>
      </c>
      <c r="EQ9">
        <f>IF(Лист2!B:B,"AAAAAH/98ZI=",0)</f>
        <v>0</v>
      </c>
      <c r="ER9">
        <f>IF(Лист2!C:C,"AAAAAH/98ZM=",0)</f>
        <v>0</v>
      </c>
      <c r="ES9">
        <f>IF(Лист2!D:D,"AAAAAH/98ZQ=",0)</f>
        <v>0</v>
      </c>
      <c r="ET9">
        <f>IF(Лист2!E:E,"AAAAAH/98ZU=",0)</f>
        <v>0</v>
      </c>
      <c r="EU9">
        <f>IF(Лист2!F:F,"AAAAAH/98ZY=",0)</f>
        <v>0</v>
      </c>
      <c r="EV9">
        <f>IF(Лист2!G:G,"AAAAAH/98Zc=",0)</f>
        <v>0</v>
      </c>
      <c r="EW9">
        <f>IF(Лист2!H:H,"AAAAAH/98Zg=",0)</f>
        <v>0</v>
      </c>
      <c r="EX9">
        <f>IF(Лист2!I:I,"AAAAAH/98Zk=",0)</f>
        <v>0</v>
      </c>
      <c r="EY9">
        <f>IF(Лист2!J:J,"AAAAAH/98Zo=",0)</f>
        <v>0</v>
      </c>
      <c r="EZ9">
        <f>IF(Лист2!K:K,"AAAAAH/98Zs=",0)</f>
        <v>0</v>
      </c>
      <c r="FA9">
        <f>IF(Лист2!L:L,"AAAAAH/98Zw=",0)</f>
        <v>0</v>
      </c>
      <c r="FB9">
        <f>IF(Лист2!M:M,"AAAAAH/98Z0=",0)</f>
        <v>0</v>
      </c>
      <c r="FC9" t="s">
        <v>109</v>
      </c>
      <c r="FD9" t="e">
        <f>IF("N",Лист2!PRINT_TITLES,"AAAAAH/98Z8=")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</cp:lastModifiedBy>
  <cp:lastPrinted>2011-03-09T13:57:01Z</cp:lastPrinted>
  <dcterms:created xsi:type="dcterms:W3CDTF">2011-03-09T07:55:55Z</dcterms:created>
  <dcterms:modified xsi:type="dcterms:W3CDTF">2011-03-09T18:34:18Z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115K1Y-DjS9uwvseJtKoqWgO8BjWPgH1Bq0-AAsMTks0</vt:lpwstr>
  </property>
  <property fmtid="{D5CDD505-2E9C-101B-9397-08002B2CF9AE}" pid="4" name="Google.Documents.RevisionId">
    <vt:lpwstr>08642587674461766724</vt:lpwstr>
  </property>
  <property fmtid="{D5CDD505-2E9C-101B-9397-08002B2CF9AE}" pid="5" name="Google.Documents.PluginVersion">
    <vt:lpwstr>2.0.1974.7364</vt:lpwstr>
  </property>
  <property fmtid="{D5CDD505-2E9C-101B-9397-08002B2CF9AE}" pid="6" name="Google.Documents.MergeIncapabilityFlags">
    <vt:i4>0</vt:i4>
  </property>
</Properties>
</file>